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792" windowWidth="11592" windowHeight="7728" tabRatio="758" firstSheet="1" activeTab="3"/>
  </bookViews>
  <sheets>
    <sheet name="Indicadores y valoración" sheetId="1" r:id="rId1"/>
    <sheet name="Medición de indicadores" sheetId="2" r:id="rId2"/>
    <sheet name="Puntuación nivel 1 sin ponderar" sheetId="3" r:id="rId3"/>
    <sheet name="Puntuación nivel 1 ponderada" sheetId="4" r:id="rId4"/>
    <sheet name="Puntuación nivel 2 ponderada" sheetId="6" r:id="rId5"/>
    <sheet name="Modelo numérico " sheetId="5" r:id="rId6"/>
  </sheets>
  <definedNames>
    <definedName name="_xlnm.Print_Area" localSheetId="1">'Medición de indicadores'!$A$1:$Q$38</definedName>
  </definedNames>
  <calcPr calcId="145621"/>
</workbook>
</file>

<file path=xl/calcChain.xml><?xml version="1.0" encoding="utf-8"?>
<calcChain xmlns="http://schemas.openxmlformats.org/spreadsheetml/2006/main">
  <c r="Q18" i="4" l="1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D7" i="2" l="1"/>
  <c r="T25" i="2" l="1"/>
  <c r="S25" i="2"/>
  <c r="D36" i="3" l="1"/>
  <c r="D5" i="3"/>
  <c r="Q15" i="2"/>
  <c r="P15" i="2"/>
  <c r="O15" i="2"/>
  <c r="N15" i="2"/>
  <c r="M15" i="2"/>
  <c r="L15" i="2"/>
  <c r="K15" i="2"/>
  <c r="J15" i="2"/>
  <c r="I15" i="2"/>
  <c r="H15" i="2"/>
  <c r="G15" i="2"/>
  <c r="F15" i="2"/>
  <c r="Q7" i="2"/>
  <c r="I7" i="2"/>
  <c r="T8" i="2" l="1"/>
  <c r="S8" i="2"/>
  <c r="D20" i="2" l="1"/>
  <c r="E20" i="2"/>
  <c r="F20" i="2"/>
  <c r="H20" i="2"/>
  <c r="I20" i="2"/>
  <c r="J20" i="2"/>
  <c r="K20" i="2"/>
  <c r="L20" i="2"/>
  <c r="M20" i="2"/>
  <c r="N20" i="2"/>
  <c r="O20" i="2"/>
  <c r="P20" i="2"/>
  <c r="Q20" i="2"/>
  <c r="D21" i="2"/>
  <c r="E21" i="2"/>
  <c r="F21" i="2"/>
  <c r="H21" i="2"/>
  <c r="I21" i="2"/>
  <c r="J21" i="2"/>
  <c r="K21" i="2"/>
  <c r="L21" i="2"/>
  <c r="M21" i="2"/>
  <c r="N21" i="2"/>
  <c r="O21" i="2"/>
  <c r="P21" i="2"/>
  <c r="Q21" i="2"/>
  <c r="Q36" i="2" l="1"/>
  <c r="P36" i="2"/>
  <c r="O36" i="2"/>
  <c r="N36" i="2"/>
  <c r="M36" i="2"/>
  <c r="L36" i="2"/>
  <c r="K36" i="2"/>
  <c r="J36" i="2"/>
  <c r="I36" i="2"/>
  <c r="H36" i="2"/>
  <c r="G36" i="2"/>
  <c r="F36" i="2"/>
  <c r="T17" i="2" l="1"/>
  <c r="S17" i="2"/>
  <c r="D17" i="3"/>
  <c r="V17" i="2" l="1"/>
  <c r="H17" i="3" s="1"/>
  <c r="U17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F17" i="3" l="1"/>
  <c r="O17" i="3"/>
  <c r="N17" i="3"/>
  <c r="M17" i="3"/>
  <c r="G17" i="3"/>
  <c r="I17" i="3"/>
  <c r="R17" i="3"/>
  <c r="L17" i="3"/>
  <c r="K17" i="3"/>
  <c r="J17" i="3"/>
  <c r="Q17" i="3"/>
  <c r="E17" i="3"/>
  <c r="P17" i="3"/>
  <c r="T36" i="2"/>
  <c r="S36" i="2"/>
  <c r="U36" i="2" l="1"/>
  <c r="V36" i="2"/>
  <c r="S28" i="2"/>
  <c r="N36" i="3" l="1"/>
  <c r="M16" i="4" s="1"/>
  <c r="I36" i="3"/>
  <c r="H16" i="4" s="1"/>
  <c r="K36" i="3"/>
  <c r="J16" i="4" s="1"/>
  <c r="M36" i="3"/>
  <c r="L16" i="4" s="1"/>
  <c r="O36" i="3"/>
  <c r="N16" i="4" s="1"/>
  <c r="J36" i="3"/>
  <c r="I16" i="4" s="1"/>
  <c r="P36" i="3"/>
  <c r="O16" i="4" s="1"/>
  <c r="L36" i="3"/>
  <c r="K16" i="4" s="1"/>
  <c r="Q36" i="3"/>
  <c r="P16" i="4" s="1"/>
  <c r="R36" i="3"/>
  <c r="Q16" i="4" s="1"/>
  <c r="H36" i="3"/>
  <c r="G16" i="4" s="1"/>
  <c r="E36" i="3"/>
  <c r="D16" i="4" s="1"/>
  <c r="F36" i="3"/>
  <c r="E16" i="4" s="1"/>
  <c r="G36" i="3"/>
  <c r="F16" i="4" s="1"/>
  <c r="Q10" i="2" l="1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L7" i="2" l="1"/>
  <c r="P7" i="2"/>
  <c r="O7" i="2"/>
  <c r="N7" i="2"/>
  <c r="M7" i="2"/>
  <c r="K7" i="2"/>
  <c r="J7" i="2"/>
  <c r="H7" i="2"/>
  <c r="G7" i="2"/>
  <c r="F7" i="2"/>
  <c r="E7" i="2"/>
  <c r="S3" i="2" l="1"/>
  <c r="S4" i="2"/>
  <c r="S6" i="2"/>
  <c r="S7" i="2"/>
  <c r="S9" i="2"/>
  <c r="S10" i="2"/>
  <c r="S11" i="2"/>
  <c r="S12" i="2"/>
  <c r="S13" i="2"/>
  <c r="S14" i="2"/>
  <c r="S15" i="2"/>
  <c r="S16" i="2"/>
  <c r="S18" i="2"/>
  <c r="S19" i="2"/>
  <c r="S20" i="2"/>
  <c r="S21" i="2"/>
  <c r="S22" i="2"/>
  <c r="S23" i="2"/>
  <c r="S24" i="2"/>
  <c r="S26" i="2"/>
  <c r="S27" i="2"/>
  <c r="S29" i="2"/>
  <c r="S30" i="2"/>
  <c r="S31" i="2"/>
  <c r="S32" i="2"/>
  <c r="S33" i="2"/>
  <c r="S34" i="2"/>
  <c r="S35" i="2"/>
  <c r="S37" i="2"/>
  <c r="S38" i="2"/>
  <c r="D3" i="3"/>
  <c r="D4" i="3"/>
  <c r="D6" i="3"/>
  <c r="D7" i="3"/>
  <c r="D8" i="3"/>
  <c r="D9" i="3"/>
  <c r="D10" i="3"/>
  <c r="D11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7" i="3"/>
  <c r="D38" i="3"/>
  <c r="T3" i="2"/>
  <c r="T4" i="2"/>
  <c r="T6" i="2"/>
  <c r="T7" i="2"/>
  <c r="T9" i="2"/>
  <c r="T10" i="2"/>
  <c r="T11" i="2"/>
  <c r="T12" i="2"/>
  <c r="T13" i="2"/>
  <c r="T14" i="2"/>
  <c r="T15" i="2"/>
  <c r="T16" i="2"/>
  <c r="T18" i="2"/>
  <c r="T19" i="2"/>
  <c r="T20" i="2"/>
  <c r="T21" i="2"/>
  <c r="T22" i="2"/>
  <c r="T23" i="2"/>
  <c r="T24" i="2"/>
  <c r="T26" i="2"/>
  <c r="T27" i="2"/>
  <c r="T28" i="2"/>
  <c r="U28" i="2" s="1"/>
  <c r="T29" i="2"/>
  <c r="T30" i="2"/>
  <c r="T31" i="2"/>
  <c r="T32" i="2"/>
  <c r="T33" i="2"/>
  <c r="T34" i="2"/>
  <c r="T35" i="2"/>
  <c r="T37" i="2"/>
  <c r="T38" i="2"/>
  <c r="C4" i="1"/>
  <c r="C6" i="1"/>
  <c r="C7" i="1"/>
  <c r="C10" i="1"/>
  <c r="C12" i="1"/>
  <c r="C20" i="1"/>
  <c r="C21" i="1"/>
  <c r="C23" i="1"/>
  <c r="C26" i="1"/>
  <c r="C27" i="1"/>
  <c r="C38" i="1"/>
  <c r="U13" i="2" l="1"/>
  <c r="U6" i="2"/>
  <c r="U16" i="2"/>
  <c r="V21" i="2"/>
  <c r="V22" i="2"/>
  <c r="U15" i="2"/>
  <c r="V23" i="2"/>
  <c r="U18" i="2"/>
  <c r="U7" i="2"/>
  <c r="V37" i="2"/>
  <c r="U4" i="2"/>
  <c r="U35" i="2"/>
  <c r="V34" i="2"/>
  <c r="I34" i="3" s="1"/>
  <c r="V32" i="2"/>
  <c r="U31" i="2"/>
  <c r="V30" i="2"/>
  <c r="V35" i="2"/>
  <c r="V31" i="2"/>
  <c r="V27" i="2"/>
  <c r="V3" i="2"/>
  <c r="U3" i="2"/>
  <c r="U10" i="2"/>
  <c r="V26" i="2"/>
  <c r="V28" i="2"/>
  <c r="H28" i="3" s="1"/>
  <c r="U32" i="2"/>
  <c r="V7" i="2"/>
  <c r="U37" i="2"/>
  <c r="U22" i="2"/>
  <c r="V10" i="2"/>
  <c r="U27" i="2"/>
  <c r="U34" i="2"/>
  <c r="V6" i="2"/>
  <c r="J6" i="3" s="1"/>
  <c r="U26" i="2"/>
  <c r="V16" i="2"/>
  <c r="V13" i="2"/>
  <c r="U30" i="2"/>
  <c r="U23" i="2"/>
  <c r="U21" i="2"/>
  <c r="V18" i="2"/>
  <c r="U20" i="2"/>
  <c r="V20" i="2"/>
  <c r="U33" i="2"/>
  <c r="V33" i="2"/>
  <c r="U29" i="2"/>
  <c r="V29" i="2"/>
  <c r="V19" i="2"/>
  <c r="U19" i="2"/>
  <c r="V14" i="2"/>
  <c r="U14" i="2"/>
  <c r="V38" i="2"/>
  <c r="U38" i="2"/>
  <c r="U25" i="2"/>
  <c r="V25" i="2"/>
  <c r="V9" i="2"/>
  <c r="U9" i="2"/>
  <c r="U11" i="2"/>
  <c r="V11" i="2"/>
  <c r="V4" i="2"/>
  <c r="V24" i="2"/>
  <c r="U24" i="2"/>
  <c r="V12" i="2"/>
  <c r="U12" i="2"/>
  <c r="V8" i="2"/>
  <c r="U8" i="2"/>
  <c r="V15" i="2"/>
  <c r="S5" i="2"/>
  <c r="T5" i="2"/>
  <c r="F13" i="3" l="1"/>
  <c r="F16" i="3"/>
  <c r="E31" i="3"/>
  <c r="E23" i="3"/>
  <c r="N27" i="3"/>
  <c r="N31" i="3"/>
  <c r="L18" i="3"/>
  <c r="Q23" i="3"/>
  <c r="N23" i="3"/>
  <c r="O23" i="3"/>
  <c r="G23" i="3"/>
  <c r="G13" i="3"/>
  <c r="K13" i="3"/>
  <c r="L13" i="3"/>
  <c r="Q13" i="3"/>
  <c r="E26" i="3"/>
  <c r="D13" i="4" s="1"/>
  <c r="L26" i="3"/>
  <c r="K13" i="4" s="1"/>
  <c r="P21" i="3"/>
  <c r="H21" i="3"/>
  <c r="M23" i="3"/>
  <c r="J23" i="3"/>
  <c r="F23" i="3"/>
  <c r="M28" i="3"/>
  <c r="M21" i="3"/>
  <c r="I23" i="3"/>
  <c r="L23" i="3"/>
  <c r="R23" i="3"/>
  <c r="L28" i="3"/>
  <c r="J35" i="3"/>
  <c r="Q21" i="3"/>
  <c r="K23" i="3"/>
  <c r="O31" i="3"/>
  <c r="G18" i="3"/>
  <c r="I10" i="3"/>
  <c r="N10" i="3"/>
  <c r="F10" i="3"/>
  <c r="J10" i="3"/>
  <c r="R10" i="3"/>
  <c r="M10" i="3"/>
  <c r="K10" i="3"/>
  <c r="O10" i="3"/>
  <c r="H7" i="3"/>
  <c r="P7" i="3"/>
  <c r="Q7" i="3"/>
  <c r="Q37" i="3"/>
  <c r="M37" i="3"/>
  <c r="H3" i="3"/>
  <c r="R3" i="3"/>
  <c r="I3" i="3"/>
  <c r="P3" i="3"/>
  <c r="R4" i="3"/>
  <c r="E4" i="3"/>
  <c r="Q35" i="3"/>
  <c r="P35" i="3"/>
  <c r="J34" i="3"/>
  <c r="R34" i="3"/>
  <c r="J32" i="3"/>
  <c r="L32" i="3"/>
  <c r="K31" i="3"/>
  <c r="Q31" i="3"/>
  <c r="R31" i="3"/>
  <c r="H31" i="3"/>
  <c r="F31" i="3"/>
  <c r="M31" i="3"/>
  <c r="I31" i="3"/>
  <c r="G31" i="3"/>
  <c r="J31" i="3"/>
  <c r="P31" i="3"/>
  <c r="K30" i="3"/>
  <c r="N30" i="3"/>
  <c r="F27" i="3"/>
  <c r="P30" i="3"/>
  <c r="O3" i="3"/>
  <c r="E18" i="3"/>
  <c r="G35" i="3"/>
  <c r="G7" i="3"/>
  <c r="R15" i="3"/>
  <c r="J27" i="3"/>
  <c r="Q27" i="3"/>
  <c r="M35" i="3"/>
  <c r="L35" i="3"/>
  <c r="K35" i="3"/>
  <c r="G6" i="3"/>
  <c r="K16" i="3"/>
  <c r="R21" i="3"/>
  <c r="O13" i="3"/>
  <c r="F34" i="3"/>
  <c r="G3" i="3"/>
  <c r="J3" i="3"/>
  <c r="Q10" i="3"/>
  <c r="P18" i="3"/>
  <c r="K7" i="3"/>
  <c r="N35" i="3"/>
  <c r="G32" i="3"/>
  <c r="E3" i="3"/>
  <c r="N7" i="3"/>
  <c r="O27" i="3"/>
  <c r="J30" i="3"/>
  <c r="O26" i="3"/>
  <c r="E35" i="3"/>
  <c r="I35" i="3"/>
  <c r="K3" i="3"/>
  <c r="R7" i="3"/>
  <c r="L31" i="3"/>
  <c r="F35" i="3"/>
  <c r="J7" i="3"/>
  <c r="O35" i="3"/>
  <c r="I4" i="3"/>
  <c r="N3" i="3"/>
  <c r="Q3" i="3"/>
  <c r="R35" i="3"/>
  <c r="H35" i="3"/>
  <c r="I7" i="3"/>
  <c r="M15" i="3"/>
  <c r="M27" i="3"/>
  <c r="M30" i="3"/>
  <c r="P16" i="3"/>
  <c r="H10" i="3"/>
  <c r="M7" i="3"/>
  <c r="O18" i="3"/>
  <c r="K37" i="3"/>
  <c r="E37" i="3"/>
  <c r="H37" i="3"/>
  <c r="F37" i="3"/>
  <c r="N37" i="3"/>
  <c r="G37" i="3"/>
  <c r="O37" i="3"/>
  <c r="R37" i="3"/>
  <c r="P37" i="3"/>
  <c r="E6" i="3"/>
  <c r="N32" i="3"/>
  <c r="P32" i="3"/>
  <c r="Q32" i="3"/>
  <c r="N18" i="3"/>
  <c r="N26" i="3"/>
  <c r="R30" i="3"/>
  <c r="I13" i="3"/>
  <c r="I27" i="3"/>
  <c r="L27" i="3"/>
  <c r="P13" i="3"/>
  <c r="I6" i="3"/>
  <c r="R28" i="3"/>
  <c r="P28" i="3"/>
  <c r="R13" i="3"/>
  <c r="I28" i="3"/>
  <c r="K28" i="3"/>
  <c r="E21" i="3"/>
  <c r="R6" i="3"/>
  <c r="G30" i="3"/>
  <c r="H13" i="3"/>
  <c r="N13" i="3"/>
  <c r="Q18" i="3"/>
  <c r="M18" i="3"/>
  <c r="O6" i="3"/>
  <c r="E30" i="3"/>
  <c r="J37" i="3"/>
  <c r="P34" i="3"/>
  <c r="Q34" i="3"/>
  <c r="O28" i="3"/>
  <c r="E13" i="3"/>
  <c r="M13" i="3"/>
  <c r="P10" i="3"/>
  <c r="G10" i="3"/>
  <c r="R18" i="3"/>
  <c r="K18" i="3"/>
  <c r="I18" i="3"/>
  <c r="F18" i="3"/>
  <c r="I26" i="3"/>
  <c r="J26" i="3"/>
  <c r="I32" i="3"/>
  <c r="L10" i="3"/>
  <c r="F32" i="3"/>
  <c r="H32" i="3"/>
  <c r="E7" i="3"/>
  <c r="F7" i="3"/>
  <c r="I15" i="3"/>
  <c r="M32" i="3"/>
  <c r="K32" i="3"/>
  <c r="R27" i="3"/>
  <c r="K27" i="3"/>
  <c r="P27" i="3"/>
  <c r="H30" i="3"/>
  <c r="F30" i="3"/>
  <c r="F3" i="3"/>
  <c r="L3" i="3"/>
  <c r="M3" i="3"/>
  <c r="P23" i="3"/>
  <c r="H23" i="3"/>
  <c r="M6" i="3"/>
  <c r="L6" i="3"/>
  <c r="G22" i="3"/>
  <c r="P22" i="3"/>
  <c r="N22" i="3"/>
  <c r="O22" i="3"/>
  <c r="J22" i="3"/>
  <c r="K22" i="3"/>
  <c r="I22" i="3"/>
  <c r="Q22" i="3"/>
  <c r="R22" i="3"/>
  <c r="E22" i="3"/>
  <c r="M22" i="3"/>
  <c r="F22" i="3"/>
  <c r="L22" i="3"/>
  <c r="H22" i="3"/>
  <c r="K6" i="3"/>
  <c r="H16" i="3"/>
  <c r="N16" i="3"/>
  <c r="E10" i="3"/>
  <c r="Q28" i="3"/>
  <c r="F28" i="3"/>
  <c r="J28" i="3"/>
  <c r="L7" i="3"/>
  <c r="G26" i="3"/>
  <c r="R26" i="3"/>
  <c r="M26" i="3"/>
  <c r="L13" i="4" s="1"/>
  <c r="Q26" i="3"/>
  <c r="H26" i="3"/>
  <c r="K26" i="3"/>
  <c r="P26" i="3"/>
  <c r="O13" i="4" s="1"/>
  <c r="Q6" i="3"/>
  <c r="Q30" i="3"/>
  <c r="I37" i="3"/>
  <c r="H18" i="3"/>
  <c r="F26" i="3"/>
  <c r="R32" i="3"/>
  <c r="O30" i="3"/>
  <c r="K21" i="3"/>
  <c r="O21" i="3"/>
  <c r="J21" i="3"/>
  <c r="L21" i="3"/>
  <c r="F21" i="3"/>
  <c r="N21" i="3"/>
  <c r="G21" i="3"/>
  <c r="H6" i="3"/>
  <c r="L30" i="3"/>
  <c r="L37" i="3"/>
  <c r="J13" i="3"/>
  <c r="I21" i="3"/>
  <c r="J18" i="3"/>
  <c r="O32" i="3"/>
  <c r="E32" i="3"/>
  <c r="H27" i="3"/>
  <c r="E27" i="3"/>
  <c r="G27" i="3"/>
  <c r="I30" i="3"/>
  <c r="E16" i="3"/>
  <c r="O16" i="3"/>
  <c r="G16" i="3"/>
  <c r="R16" i="3"/>
  <c r="I16" i="3"/>
  <c r="Q16" i="3"/>
  <c r="M16" i="3"/>
  <c r="L16" i="3"/>
  <c r="N6" i="3"/>
  <c r="G34" i="3"/>
  <c r="L34" i="3"/>
  <c r="K34" i="3"/>
  <c r="H34" i="3"/>
  <c r="N34" i="3"/>
  <c r="E34" i="3"/>
  <c r="O34" i="3"/>
  <c r="M34" i="3"/>
  <c r="J16" i="3"/>
  <c r="P6" i="3"/>
  <c r="N28" i="3"/>
  <c r="G28" i="3"/>
  <c r="E28" i="3"/>
  <c r="O7" i="3"/>
  <c r="F6" i="3"/>
  <c r="E11" i="3"/>
  <c r="Q11" i="3"/>
  <c r="J11" i="3"/>
  <c r="I11" i="3"/>
  <c r="H11" i="3"/>
  <c r="O11" i="3"/>
  <c r="F11" i="3"/>
  <c r="K11" i="3"/>
  <c r="N11" i="3"/>
  <c r="P11" i="3"/>
  <c r="R11" i="3"/>
  <c r="G11" i="3"/>
  <c r="M11" i="3"/>
  <c r="L11" i="3"/>
  <c r="O33" i="3"/>
  <c r="Q33" i="3"/>
  <c r="J33" i="3"/>
  <c r="H33" i="3"/>
  <c r="E33" i="3"/>
  <c r="G33" i="3"/>
  <c r="I33" i="3"/>
  <c r="F33" i="3"/>
  <c r="M33" i="3"/>
  <c r="K33" i="3"/>
  <c r="P33" i="3"/>
  <c r="L33" i="3"/>
  <c r="R33" i="3"/>
  <c r="N33" i="3"/>
  <c r="L9" i="3"/>
  <c r="O9" i="3"/>
  <c r="P9" i="3"/>
  <c r="H9" i="3"/>
  <c r="E9" i="3"/>
  <c r="G9" i="3"/>
  <c r="M9" i="3"/>
  <c r="F9" i="3"/>
  <c r="I9" i="3"/>
  <c r="N9" i="3"/>
  <c r="Q9" i="3"/>
  <c r="R9" i="3"/>
  <c r="K9" i="3"/>
  <c r="J9" i="3"/>
  <c r="N15" i="3"/>
  <c r="J14" i="3"/>
  <c r="E14" i="3"/>
  <c r="N14" i="3"/>
  <c r="H14" i="3"/>
  <c r="R14" i="3"/>
  <c r="O14" i="3"/>
  <c r="G14" i="3"/>
  <c r="P14" i="3"/>
  <c r="K14" i="3"/>
  <c r="M14" i="3"/>
  <c r="L14" i="3"/>
  <c r="I14" i="3"/>
  <c r="Q14" i="3"/>
  <c r="F14" i="3"/>
  <c r="F15" i="3"/>
  <c r="L15" i="3"/>
  <c r="H15" i="3"/>
  <c r="K15" i="3"/>
  <c r="J4" i="3"/>
  <c r="H4" i="3"/>
  <c r="N4" i="3"/>
  <c r="O4" i="3"/>
  <c r="L4" i="3"/>
  <c r="Q4" i="3"/>
  <c r="G4" i="3"/>
  <c r="P4" i="3"/>
  <c r="M4" i="3"/>
  <c r="F4" i="3"/>
  <c r="K4" i="3"/>
  <c r="P29" i="3"/>
  <c r="G29" i="3"/>
  <c r="F29" i="3"/>
  <c r="H29" i="3"/>
  <c r="O29" i="3"/>
  <c r="L29" i="3"/>
  <c r="M29" i="3"/>
  <c r="K29" i="3"/>
  <c r="J29" i="3"/>
  <c r="I29" i="3"/>
  <c r="E29" i="3"/>
  <c r="N29" i="3"/>
  <c r="Q29" i="3"/>
  <c r="R29" i="3"/>
  <c r="Q15" i="3"/>
  <c r="E15" i="3"/>
  <c r="P15" i="3"/>
  <c r="Q38" i="3"/>
  <c r="E38" i="3"/>
  <c r="J38" i="3"/>
  <c r="L38" i="3"/>
  <c r="N38" i="3"/>
  <c r="I38" i="3"/>
  <c r="R38" i="3"/>
  <c r="G38" i="3"/>
  <c r="H38" i="3"/>
  <c r="K38" i="3"/>
  <c r="P38" i="3"/>
  <c r="O38" i="3"/>
  <c r="F38" i="3"/>
  <c r="M38" i="3"/>
  <c r="M12" i="3"/>
  <c r="R12" i="3"/>
  <c r="P12" i="3"/>
  <c r="F12" i="3"/>
  <c r="I12" i="3"/>
  <c r="H12" i="3"/>
  <c r="E12" i="3"/>
  <c r="Q12" i="3"/>
  <c r="G12" i="3"/>
  <c r="K12" i="3"/>
  <c r="J12" i="3"/>
  <c r="N12" i="3"/>
  <c r="O12" i="3"/>
  <c r="L12" i="3"/>
  <c r="H24" i="3"/>
  <c r="E24" i="3"/>
  <c r="F24" i="3"/>
  <c r="N24" i="3"/>
  <c r="K24" i="3"/>
  <c r="I24" i="3"/>
  <c r="P24" i="3"/>
  <c r="M24" i="3"/>
  <c r="L24" i="3"/>
  <c r="Q24" i="3"/>
  <c r="R24" i="3"/>
  <c r="J24" i="3"/>
  <c r="O24" i="3"/>
  <c r="G24" i="3"/>
  <c r="V5" i="2"/>
  <c r="U5" i="2"/>
  <c r="L8" i="3"/>
  <c r="E8" i="3"/>
  <c r="H8" i="3"/>
  <c r="F8" i="3"/>
  <c r="M8" i="3"/>
  <c r="O8" i="3"/>
  <c r="Q8" i="3"/>
  <c r="J8" i="3"/>
  <c r="R8" i="3"/>
  <c r="N8" i="3"/>
  <c r="I8" i="3"/>
  <c r="P8" i="3"/>
  <c r="G8" i="3"/>
  <c r="K8" i="3"/>
  <c r="N25" i="3"/>
  <c r="M12" i="4" s="1"/>
  <c r="K25" i="3"/>
  <c r="J12" i="4" s="1"/>
  <c r="G25" i="3"/>
  <c r="F12" i="4" s="1"/>
  <c r="H25" i="3"/>
  <c r="G12" i="4" s="1"/>
  <c r="L25" i="3"/>
  <c r="K12" i="4" s="1"/>
  <c r="J25" i="3"/>
  <c r="I12" i="4" s="1"/>
  <c r="Q25" i="3"/>
  <c r="P12" i="4" s="1"/>
  <c r="R25" i="3"/>
  <c r="Q12" i="4" s="1"/>
  <c r="I25" i="3"/>
  <c r="H12" i="4" s="1"/>
  <c r="P25" i="3"/>
  <c r="O12" i="4" s="1"/>
  <c r="F25" i="3"/>
  <c r="E12" i="4" s="1"/>
  <c r="E25" i="3"/>
  <c r="D12" i="4" s="1"/>
  <c r="M25" i="3"/>
  <c r="L12" i="4" s="1"/>
  <c r="O25" i="3"/>
  <c r="N12" i="4" s="1"/>
  <c r="F19" i="3"/>
  <c r="E9" i="4" s="1"/>
  <c r="E19" i="3"/>
  <c r="D9" i="4" s="1"/>
  <c r="H19" i="3"/>
  <c r="G9" i="4" s="1"/>
  <c r="L19" i="3"/>
  <c r="K9" i="4" s="1"/>
  <c r="R19" i="3"/>
  <c r="Q9" i="4" s="1"/>
  <c r="K19" i="3"/>
  <c r="J9" i="4" s="1"/>
  <c r="I19" i="3"/>
  <c r="H9" i="4" s="1"/>
  <c r="G19" i="3"/>
  <c r="F9" i="4" s="1"/>
  <c r="O19" i="3"/>
  <c r="N9" i="4" s="1"/>
  <c r="Q19" i="3"/>
  <c r="P9" i="4" s="1"/>
  <c r="P19" i="3"/>
  <c r="O9" i="4" s="1"/>
  <c r="N19" i="3"/>
  <c r="M9" i="4" s="1"/>
  <c r="J19" i="3"/>
  <c r="I9" i="4" s="1"/>
  <c r="M19" i="3"/>
  <c r="L9" i="4" s="1"/>
  <c r="O15" i="3"/>
  <c r="G15" i="3"/>
  <c r="J15" i="3"/>
  <c r="H20" i="3"/>
  <c r="O20" i="3"/>
  <c r="I20" i="3"/>
  <c r="Q20" i="3"/>
  <c r="M20" i="3"/>
  <c r="G20" i="3"/>
  <c r="N20" i="3"/>
  <c r="P20" i="3"/>
  <c r="K20" i="3"/>
  <c r="J20" i="3"/>
  <c r="R20" i="3"/>
  <c r="L20" i="3"/>
  <c r="F20" i="3"/>
  <c r="E20" i="3"/>
  <c r="E6" i="4" l="1"/>
  <c r="D15" i="4"/>
  <c r="J6" i="4"/>
  <c r="O10" i="4"/>
  <c r="I6" i="4"/>
  <c r="N6" i="4"/>
  <c r="L14" i="4"/>
  <c r="P10" i="4"/>
  <c r="N17" i="4"/>
  <c r="L9" i="6" s="1"/>
  <c r="M10" i="4"/>
  <c r="L10" i="4"/>
  <c r="G14" i="4"/>
  <c r="O3" i="4"/>
  <c r="E10" i="4"/>
  <c r="G10" i="4"/>
  <c r="Q11" i="4"/>
  <c r="I14" i="4"/>
  <c r="K11" i="4"/>
  <c r="E8" i="4"/>
  <c r="C6" i="6" s="1"/>
  <c r="I8" i="4"/>
  <c r="G6" i="6" s="1"/>
  <c r="H6" i="4"/>
  <c r="M6" i="4"/>
  <c r="F6" i="4"/>
  <c r="L6" i="4"/>
  <c r="K6" i="4"/>
  <c r="Q6" i="4"/>
  <c r="I5" i="4"/>
  <c r="G4" i="6" s="1"/>
  <c r="M5" i="4"/>
  <c r="K4" i="6" s="1"/>
  <c r="G17" i="4"/>
  <c r="E9" i="6" s="1"/>
  <c r="P17" i="4"/>
  <c r="N9" i="6" s="1"/>
  <c r="I17" i="4"/>
  <c r="G9" i="6" s="1"/>
  <c r="L17" i="4"/>
  <c r="J9" i="6" s="1"/>
  <c r="N3" i="4"/>
  <c r="G3" i="4"/>
  <c r="H3" i="4"/>
  <c r="P3" i="4"/>
  <c r="Q3" i="4"/>
  <c r="J3" i="4"/>
  <c r="D3" i="4"/>
  <c r="F5" i="4"/>
  <c r="D4" i="6" s="1"/>
  <c r="I15" i="4"/>
  <c r="J14" i="4"/>
  <c r="H10" i="4"/>
  <c r="M8" i="4"/>
  <c r="K6" i="6" s="1"/>
  <c r="L3" i="4"/>
  <c r="P6" i="4"/>
  <c r="G6" i="4"/>
  <c r="E15" i="4"/>
  <c r="O5" i="4"/>
  <c r="M4" i="6" s="1"/>
  <c r="L5" i="4"/>
  <c r="J4" i="6" s="1"/>
  <c r="J17" i="4"/>
  <c r="H9" i="6" s="1"/>
  <c r="K3" i="4"/>
  <c r="I3" i="4"/>
  <c r="N11" i="4"/>
  <c r="E3" i="4"/>
  <c r="I10" i="4"/>
  <c r="F10" i="4"/>
  <c r="J5" i="4"/>
  <c r="H4" i="6" s="1"/>
  <c r="L11" i="4"/>
  <c r="M17" i="4"/>
  <c r="K9" i="6" s="1"/>
  <c r="D8" i="4"/>
  <c r="B6" i="6" s="1"/>
  <c r="J8" i="4"/>
  <c r="H6" i="6" s="1"/>
  <c r="N13" i="4"/>
  <c r="Q10" i="4"/>
  <c r="O8" i="4"/>
  <c r="M6" i="6" s="1"/>
  <c r="E13" i="4"/>
  <c r="M3" i="4"/>
  <c r="D6" i="4"/>
  <c r="Q15" i="4"/>
  <c r="H5" i="4"/>
  <c r="F4" i="6" s="1"/>
  <c r="O17" i="4"/>
  <c r="M9" i="6" s="1"/>
  <c r="P13" i="4"/>
  <c r="K7" i="4"/>
  <c r="L8" i="4"/>
  <c r="J6" i="6" s="1"/>
  <c r="N5" i="4"/>
  <c r="L4" i="6" s="1"/>
  <c r="F3" i="4"/>
  <c r="M11" i="4"/>
  <c r="G11" i="4"/>
  <c r="H13" i="4"/>
  <c r="K15" i="4"/>
  <c r="N10" i="4"/>
  <c r="K5" i="4"/>
  <c r="I4" i="6" s="1"/>
  <c r="E17" i="4"/>
  <c r="C9" i="6" s="1"/>
  <c r="H17" i="4"/>
  <c r="F9" i="6" s="1"/>
  <c r="D17" i="4"/>
  <c r="B9" i="6" s="1"/>
  <c r="Q14" i="4"/>
  <c r="D14" i="4"/>
  <c r="H15" i="4"/>
  <c r="Q8" i="4"/>
  <c r="O6" i="6" s="1"/>
  <c r="O14" i="4"/>
  <c r="I13" i="4"/>
  <c r="M14" i="4"/>
  <c r="D10" i="4"/>
  <c r="P5" i="4"/>
  <c r="N4" i="6" s="1"/>
  <c r="G5" i="4"/>
  <c r="E4" i="6" s="1"/>
  <c r="J11" i="4"/>
  <c r="D11" i="4"/>
  <c r="F17" i="4"/>
  <c r="D9" i="6" s="1"/>
  <c r="K17" i="4"/>
  <c r="I9" i="6" s="1"/>
  <c r="N14" i="4"/>
  <c r="K8" i="4"/>
  <c r="I6" i="6" s="1"/>
  <c r="D5" i="4"/>
  <c r="B4" i="6" s="1"/>
  <c r="I11" i="4"/>
  <c r="F15" i="4"/>
  <c r="I7" i="4"/>
  <c r="F8" i="4"/>
  <c r="D6" i="6" s="1"/>
  <c r="N8" i="4"/>
  <c r="L6" i="6" s="1"/>
  <c r="E5" i="4"/>
  <c r="C4" i="6" s="1"/>
  <c r="F11" i="4"/>
  <c r="P11" i="4"/>
  <c r="H11" i="4"/>
  <c r="Q17" i="4"/>
  <c r="O9" i="6" s="1"/>
  <c r="P8" i="4"/>
  <c r="N6" i="6" s="1"/>
  <c r="J13" i="4"/>
  <c r="G13" i="4"/>
  <c r="F13" i="4"/>
  <c r="M15" i="4"/>
  <c r="J15" i="4"/>
  <c r="G15" i="4"/>
  <c r="D7" i="4"/>
  <c r="K10" i="4"/>
  <c r="E14" i="4"/>
  <c r="Q13" i="4"/>
  <c r="L15" i="4"/>
  <c r="P15" i="4"/>
  <c r="J10" i="4"/>
  <c r="Q5" i="4"/>
  <c r="O4" i="6" s="1"/>
  <c r="O11" i="4"/>
  <c r="M7" i="6" s="1"/>
  <c r="E11" i="4"/>
  <c r="P14" i="4"/>
  <c r="H14" i="4"/>
  <c r="K14" i="4"/>
  <c r="F14" i="4"/>
  <c r="G8" i="4"/>
  <c r="E6" i="6" s="1"/>
  <c r="O6" i="4"/>
  <c r="M13" i="4"/>
  <c r="O15" i="4"/>
  <c r="N15" i="4"/>
  <c r="H8" i="4"/>
  <c r="F6" i="6" s="1"/>
  <c r="E5" i="3"/>
  <c r="Q5" i="3"/>
  <c r="P5" i="3"/>
  <c r="O4" i="4" s="1"/>
  <c r="M5" i="3"/>
  <c r="L4" i="4" s="1"/>
  <c r="L5" i="3"/>
  <c r="K4" i="4" s="1"/>
  <c r="O5" i="3"/>
  <c r="H5" i="3"/>
  <c r="G4" i="4" s="1"/>
  <c r="G5" i="3"/>
  <c r="F4" i="4" s="1"/>
  <c r="I5" i="3"/>
  <c r="R5" i="3"/>
  <c r="K5" i="3"/>
  <c r="J4" i="4" s="1"/>
  <c r="N5" i="3"/>
  <c r="M4" i="4" s="1"/>
  <c r="J5" i="3"/>
  <c r="I4" i="4" s="1"/>
  <c r="F5" i="3"/>
  <c r="E4" i="4" s="1"/>
  <c r="F7" i="4"/>
  <c r="J7" i="4"/>
  <c r="H5" i="6" s="1"/>
  <c r="G7" i="4"/>
  <c r="Q7" i="4"/>
  <c r="H7" i="4"/>
  <c r="L7" i="4"/>
  <c r="O7" i="4"/>
  <c r="E7" i="4"/>
  <c r="C5" i="6" s="1"/>
  <c r="M7" i="4"/>
  <c r="N7" i="4"/>
  <c r="P7" i="4"/>
  <c r="O8" i="6" l="1"/>
  <c r="B8" i="6"/>
  <c r="I8" i="6"/>
  <c r="F8" i="6"/>
  <c r="D8" i="6"/>
  <c r="J8" i="6"/>
  <c r="N8" i="6"/>
  <c r="C8" i="6"/>
  <c r="L8" i="6"/>
  <c r="K8" i="6"/>
  <c r="H8" i="6"/>
  <c r="G8" i="6"/>
  <c r="M8" i="6"/>
  <c r="E8" i="6"/>
  <c r="M3" i="6"/>
  <c r="D5" i="6"/>
  <c r="J7" i="6"/>
  <c r="L5" i="6"/>
  <c r="G5" i="6"/>
  <c r="E7" i="6"/>
  <c r="B7" i="6"/>
  <c r="C7" i="6"/>
  <c r="I7" i="6"/>
  <c r="E3" i="6"/>
  <c r="F5" i="6"/>
  <c r="K5" i="6"/>
  <c r="I5" i="6"/>
  <c r="J5" i="6"/>
  <c r="E5" i="6"/>
  <c r="O5" i="6"/>
  <c r="H3" i="6"/>
  <c r="K3" i="6"/>
  <c r="L7" i="6"/>
  <c r="G7" i="6"/>
  <c r="N5" i="6"/>
  <c r="P9" i="6"/>
  <c r="B5" i="6"/>
  <c r="J3" i="6"/>
  <c r="G3" i="6"/>
  <c r="P6" i="6"/>
  <c r="Q6" i="6"/>
  <c r="K7" i="6"/>
  <c r="G39" i="3"/>
  <c r="N39" i="3"/>
  <c r="D7" i="6"/>
  <c r="O7" i="6"/>
  <c r="H4" i="4"/>
  <c r="F3" i="6" s="1"/>
  <c r="I39" i="3"/>
  <c r="P4" i="4"/>
  <c r="N3" i="6" s="1"/>
  <c r="Q39" i="3"/>
  <c r="F7" i="6"/>
  <c r="M39" i="3"/>
  <c r="J39" i="3"/>
  <c r="D4" i="4"/>
  <c r="B3" i="6" s="1"/>
  <c r="E39" i="3"/>
  <c r="N7" i="6"/>
  <c r="K39" i="3"/>
  <c r="M5" i="6"/>
  <c r="Q4" i="4"/>
  <c r="R39" i="3"/>
  <c r="N4" i="4"/>
  <c r="O39" i="3"/>
  <c r="Q4" i="6"/>
  <c r="Q9" i="6"/>
  <c r="H39" i="3"/>
  <c r="P39" i="3"/>
  <c r="F39" i="3"/>
  <c r="L39" i="3"/>
  <c r="H7" i="6"/>
  <c r="P4" i="6"/>
  <c r="I3" i="6"/>
  <c r="C3" i="6"/>
  <c r="D3" i="6"/>
  <c r="E10" i="6" l="1"/>
  <c r="G10" i="6"/>
  <c r="J10" i="6"/>
  <c r="M10" i="6"/>
  <c r="L42" i="3"/>
  <c r="R42" i="3"/>
  <c r="H10" i="6"/>
  <c r="K10" i="6"/>
  <c r="P8" i="6"/>
  <c r="Q8" i="6"/>
  <c r="C10" i="6"/>
  <c r="L3" i="6"/>
  <c r="L10" i="6" s="1"/>
  <c r="D10" i="6"/>
  <c r="I10" i="6"/>
  <c r="F10" i="6"/>
  <c r="R9" i="6"/>
  <c r="P7" i="6"/>
  <c r="N10" i="6"/>
  <c r="S9" i="6"/>
  <c r="R4" i="6"/>
  <c r="S4" i="6"/>
  <c r="Q7" i="6"/>
  <c r="K42" i="3"/>
  <c r="S6" i="6"/>
  <c r="R6" i="6"/>
  <c r="I42" i="3"/>
  <c r="F42" i="3"/>
  <c r="H42" i="3"/>
  <c r="E42" i="3"/>
  <c r="M42" i="3"/>
  <c r="O3" i="6"/>
  <c r="O10" i="6" s="1"/>
  <c r="P42" i="3"/>
  <c r="O42" i="3"/>
  <c r="N42" i="3"/>
  <c r="G42" i="3"/>
  <c r="J42" i="3"/>
  <c r="Q42" i="3"/>
  <c r="Q5" i="6"/>
  <c r="P5" i="6"/>
  <c r="B10" i="6"/>
  <c r="F21" i="4" l="1"/>
  <c r="I13" i="6"/>
  <c r="J21" i="4"/>
  <c r="O13" i="6"/>
  <c r="Q21" i="4"/>
  <c r="P21" i="4"/>
  <c r="J9" i="5"/>
  <c r="E9" i="5"/>
  <c r="R8" i="6"/>
  <c r="O4" i="5"/>
  <c r="G21" i="4"/>
  <c r="S8" i="6"/>
  <c r="N21" i="4"/>
  <c r="M21" i="4"/>
  <c r="L21" i="4"/>
  <c r="D21" i="4"/>
  <c r="E21" i="4"/>
  <c r="H21" i="4"/>
  <c r="O21" i="4"/>
  <c r="I21" i="4"/>
  <c r="K21" i="4"/>
  <c r="L9" i="5"/>
  <c r="S7" i="6"/>
  <c r="C9" i="5"/>
  <c r="R7" i="6"/>
  <c r="B9" i="5"/>
  <c r="M9" i="5"/>
  <c r="H9" i="5"/>
  <c r="J4" i="5"/>
  <c r="N9" i="5"/>
  <c r="K9" i="5"/>
  <c r="H4" i="5"/>
  <c r="E4" i="5"/>
  <c r="F9" i="5"/>
  <c r="I9" i="5"/>
  <c r="C4" i="5"/>
  <c r="Q3" i="6"/>
  <c r="M4" i="5"/>
  <c r="F4" i="5"/>
  <c r="B4" i="5"/>
  <c r="G9" i="5"/>
  <c r="D9" i="5"/>
  <c r="O9" i="5"/>
  <c r="D4" i="5"/>
  <c r="K4" i="5"/>
  <c r="L4" i="5"/>
  <c r="M6" i="5"/>
  <c r="K6" i="5"/>
  <c r="L6" i="5"/>
  <c r="I6" i="5"/>
  <c r="E6" i="5"/>
  <c r="G6" i="5"/>
  <c r="N6" i="5"/>
  <c r="D6" i="5"/>
  <c r="O6" i="5"/>
  <c r="J6" i="5"/>
  <c r="H6" i="5"/>
  <c r="B6" i="5"/>
  <c r="C6" i="5"/>
  <c r="F6" i="5"/>
  <c r="P3" i="6"/>
  <c r="N4" i="5"/>
  <c r="I4" i="5"/>
  <c r="G4" i="5"/>
  <c r="B13" i="6"/>
  <c r="G13" i="6"/>
  <c r="F13" i="6"/>
  <c r="H13" i="6"/>
  <c r="E13" i="6"/>
  <c r="J13" i="6"/>
  <c r="K13" i="6"/>
  <c r="L13" i="6"/>
  <c r="D13" i="6"/>
  <c r="N13" i="6"/>
  <c r="S5" i="6"/>
  <c r="R5" i="6"/>
  <c r="C13" i="6"/>
  <c r="M13" i="6"/>
  <c r="D7" i="5" l="1"/>
  <c r="B7" i="5"/>
  <c r="O7" i="5"/>
  <c r="B8" i="5"/>
  <c r="L8" i="5"/>
  <c r="D8" i="5"/>
  <c r="F8" i="5"/>
  <c r="J8" i="5"/>
  <c r="E8" i="5"/>
  <c r="I8" i="5"/>
  <c r="F7" i="5"/>
  <c r="J7" i="5"/>
  <c r="H8" i="5"/>
  <c r="K8" i="5"/>
  <c r="G8" i="5"/>
  <c r="M8" i="5"/>
  <c r="O8" i="5"/>
  <c r="C8" i="5"/>
  <c r="N8" i="5"/>
  <c r="C7" i="5"/>
  <c r="N7" i="5"/>
  <c r="G7" i="5"/>
  <c r="I7" i="5"/>
  <c r="H7" i="5"/>
  <c r="M7" i="5"/>
  <c r="K7" i="5"/>
  <c r="E7" i="5"/>
  <c r="L7" i="5"/>
  <c r="R3" i="6"/>
  <c r="S3" i="6"/>
  <c r="K5" i="5"/>
  <c r="I5" i="5"/>
  <c r="J5" i="5"/>
  <c r="O5" i="5"/>
  <c r="L5" i="5"/>
  <c r="D5" i="5"/>
  <c r="E5" i="5"/>
  <c r="M5" i="5"/>
  <c r="F5" i="5"/>
  <c r="C5" i="5"/>
  <c r="N5" i="5"/>
  <c r="H5" i="5"/>
  <c r="B5" i="5"/>
  <c r="G5" i="5"/>
  <c r="H3" i="5" l="1"/>
  <c r="H10" i="5" s="1"/>
  <c r="C3" i="5"/>
  <c r="C10" i="5" s="1"/>
  <c r="F3" i="5"/>
  <c r="F10" i="5" s="1"/>
  <c r="K3" i="5"/>
  <c r="K10" i="5" s="1"/>
  <c r="J3" i="5"/>
  <c r="J10" i="5" s="1"/>
  <c r="N3" i="5"/>
  <c r="N10" i="5" s="1"/>
  <c r="O3" i="5"/>
  <c r="O10" i="5" s="1"/>
  <c r="D3" i="5"/>
  <c r="D10" i="5" s="1"/>
  <c r="G3" i="5"/>
  <c r="G10" i="5" s="1"/>
  <c r="I3" i="5"/>
  <c r="I10" i="5" s="1"/>
  <c r="B3" i="5"/>
  <c r="B10" i="5" s="1"/>
  <c r="L3" i="5"/>
  <c r="L10" i="5" s="1"/>
  <c r="M3" i="5"/>
  <c r="M10" i="5" s="1"/>
  <c r="E3" i="5"/>
  <c r="E10" i="5" s="1"/>
  <c r="N13" i="5" l="1"/>
  <c r="K13" i="5"/>
  <c r="E13" i="5"/>
  <c r="O13" i="5"/>
  <c r="I13" i="5"/>
  <c r="J13" i="5"/>
  <c r="H13" i="5"/>
  <c r="M13" i="5"/>
  <c r="F13" i="5"/>
  <c r="L13" i="5"/>
  <c r="G13" i="5"/>
  <c r="D13" i="5"/>
  <c r="C13" i="5"/>
</calcChain>
</file>

<file path=xl/sharedStrings.xml><?xml version="1.0" encoding="utf-8"?>
<sst xmlns="http://schemas.openxmlformats.org/spreadsheetml/2006/main" count="430" uniqueCount="103">
  <si>
    <t>Funcionalidad</t>
  </si>
  <si>
    <t>Demanda</t>
  </si>
  <si>
    <t>Población servida</t>
  </si>
  <si>
    <t>Accesibilidad</t>
  </si>
  <si>
    <t>Paradas</t>
  </si>
  <si>
    <t>Longitud pasos peatones hasta llegar andén</t>
  </si>
  <si>
    <t>Plataforma</t>
  </si>
  <si>
    <t>Número de cruces de vehículos rodados</t>
  </si>
  <si>
    <t>Longitud de plataforma compartida</t>
  </si>
  <si>
    <t>Compatiblidad con planeamiento</t>
  </si>
  <si>
    <t>Urbanización</t>
  </si>
  <si>
    <t>% longitud urbanización ajustada a alineaciones y rasantes</t>
  </si>
  <si>
    <t>Aspectos ambientales</t>
  </si>
  <si>
    <t>Patrimonio histórico</t>
  </si>
  <si>
    <t>Generación de residuos</t>
  </si>
  <si>
    <t>Consumo de recursos</t>
  </si>
  <si>
    <t>Ruido</t>
  </si>
  <si>
    <t>Paisaje</t>
  </si>
  <si>
    <t>Aspectos sociales</t>
  </si>
  <si>
    <t>Comercios</t>
  </si>
  <si>
    <t>Residentes</t>
  </si>
  <si>
    <t>nº plazas particulares afectadas</t>
  </si>
  <si>
    <t>nº zonas de carga y descarga afectadas</t>
  </si>
  <si>
    <t>nº de vados afectados</t>
  </si>
  <si>
    <t>nº reserva de aparcamientos afectados</t>
  </si>
  <si>
    <t>CRITERIO</t>
  </si>
  <si>
    <t>FACTOR</t>
  </si>
  <si>
    <t>1B</t>
  </si>
  <si>
    <t>2B</t>
  </si>
  <si>
    <t>2C</t>
  </si>
  <si>
    <t>3B</t>
  </si>
  <si>
    <t>3C</t>
  </si>
  <si>
    <r>
      <t>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pavimento existente a demoler</t>
    </r>
  </si>
  <si>
    <r>
      <t>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excavación a realizar</t>
    </r>
  </si>
  <si>
    <r>
      <t>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pavimento de aceras a ejecutar</t>
    </r>
  </si>
  <si>
    <r>
      <t>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hormigón a ejecutar</t>
    </r>
  </si>
  <si>
    <r>
      <t>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pavimento de calzadas a ejecutar</t>
    </r>
  </si>
  <si>
    <t>Número de accesos a garaje por plataforma</t>
  </si>
  <si>
    <t>Número de vehículos que cruzan la plataforma</t>
  </si>
  <si>
    <t>4B</t>
  </si>
  <si>
    <t>3D</t>
  </si>
  <si>
    <t>2D</t>
  </si>
  <si>
    <t>º</t>
  </si>
  <si>
    <t>Distancia media entre estaciones</t>
  </si>
  <si>
    <t>Tiempo</t>
  </si>
  <si>
    <t>Descripción</t>
  </si>
  <si>
    <t>Mejor puntuación</t>
  </si>
  <si>
    <t>ALTERNATIVA</t>
  </si>
  <si>
    <t>A</t>
  </si>
  <si>
    <t>a</t>
  </si>
  <si>
    <t>b</t>
  </si>
  <si>
    <t>B</t>
  </si>
  <si>
    <t>Intervalo de valoración</t>
  </si>
  <si>
    <t>Homogeneización</t>
  </si>
  <si>
    <t>INDICADORES</t>
  </si>
  <si>
    <t>Valor pésimo (B)</t>
  </si>
  <si>
    <t>Valor óptimo (A)</t>
  </si>
  <si>
    <t xml:space="preserve"> Puntuación homogeneizada</t>
  </si>
  <si>
    <t>PUNTUACIÓN TOTAL SIN PONDERAR NIVEL 1</t>
  </si>
  <si>
    <t>PUNTUACIÓN TOTAL PONDERADA NIVEL 1</t>
  </si>
  <si>
    <t>PUNTUACIÓN NIVEL 2 PONDERADA</t>
  </si>
  <si>
    <t xml:space="preserve">  </t>
  </si>
  <si>
    <t>Costes</t>
  </si>
  <si>
    <t>plazas de aparcamientos en viarios afectados</t>
  </si>
  <si>
    <t>MODELO NUMÉRICO</t>
  </si>
  <si>
    <t xml:space="preserve">Patrimonio </t>
  </si>
  <si>
    <t>Valoración</t>
  </si>
  <si>
    <t>Mayor valor</t>
  </si>
  <si>
    <t>Menor valor</t>
  </si>
  <si>
    <t xml:space="preserve">Mayor valor </t>
  </si>
  <si>
    <t xml:space="preserve">Menor valor </t>
  </si>
  <si>
    <t>Ponderación</t>
  </si>
  <si>
    <t>nº elementos catálogo municipal cercanos</t>
  </si>
  <si>
    <t>ml trazado en  viaducto</t>
  </si>
  <si>
    <t xml:space="preserve">Comercios </t>
  </si>
  <si>
    <t>nº locales comerciales afectados durante la obra</t>
  </si>
  <si>
    <r>
      <t>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locales comerciales afectados durante la obra</t>
    </r>
  </si>
  <si>
    <t>nº empleados afectados durante la obra</t>
  </si>
  <si>
    <t>nº de edificaciones colindantes con obra</t>
  </si>
  <si>
    <t xml:space="preserve">Trazado </t>
  </si>
  <si>
    <t>% Longitud a velocidad máxima</t>
  </si>
  <si>
    <t>% Longitud en vía única o entrelazada</t>
  </si>
  <si>
    <t>Trazado</t>
  </si>
  <si>
    <t>coste de inversión</t>
  </si>
  <si>
    <t>Reducción de dB respecto a la situación actual</t>
  </si>
  <si>
    <t>Compatibilidad con planeamiento</t>
  </si>
  <si>
    <t>Minutos de duración de viaje de la línea completa</t>
  </si>
  <si>
    <t xml:space="preserve">     </t>
  </si>
  <si>
    <t>1A</t>
  </si>
  <si>
    <t>2A</t>
  </si>
  <si>
    <t>3A</t>
  </si>
  <si>
    <t>4A</t>
  </si>
  <si>
    <t>4C</t>
  </si>
  <si>
    <t>4D</t>
  </si>
  <si>
    <t>Población servida/km recorrido</t>
  </si>
  <si>
    <t>Número de paradas/km</t>
  </si>
  <si>
    <t>incremento del coste anual de operación</t>
  </si>
  <si>
    <t>Expropiaciones</t>
  </si>
  <si>
    <t>m² suelo urbano a expropiar</t>
  </si>
  <si>
    <t>% longitud trazado con modificación de sentidos de circulación</t>
  </si>
  <si>
    <t>% longitud aceras respetando ancho mínimo</t>
  </si>
  <si>
    <t>% longitud trazado con disminución no superior a 1 carril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</si>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</sst>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8"/>
      <color indexed="9"/>
      <name val="Arial"/>
      <family val="2"/>
    </font>
    <font>
      <sz val="16"/>
      <name val="Arial Narrow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7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justify" wrapText="1"/>
    </xf>
    <xf numFmtId="0" fontId="3" fillId="0" borderId="7" xfId="0" applyFont="1" applyBorder="1" applyAlignment="1">
      <alignment horizontal="justify" wrapText="1"/>
    </xf>
    <xf numFmtId="0" fontId="9" fillId="0" borderId="8" xfId="0" applyFont="1" applyFill="1" applyBorder="1"/>
    <xf numFmtId="0" fontId="0" fillId="3" borderId="0" xfId="0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9" fillId="3" borderId="0" xfId="0" applyFont="1" applyFill="1" applyBorder="1"/>
    <xf numFmtId="0" fontId="0" fillId="4" borderId="10" xfId="0" applyFill="1" applyBorder="1" applyAlignment="1"/>
    <xf numFmtId="0" fontId="0" fillId="4" borderId="10" xfId="0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3" fillId="0" borderId="0" xfId="0" applyFont="1" applyFill="1" applyBorder="1" applyAlignment="1">
      <alignment horizontal="justify" wrapText="1"/>
    </xf>
    <xf numFmtId="2" fontId="0" fillId="0" borderId="24" xfId="0" applyNumberForma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2" fontId="0" fillId="0" borderId="3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6" fillId="4" borderId="24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 wrapText="1"/>
    </xf>
    <xf numFmtId="0" fontId="9" fillId="0" borderId="0" xfId="0" applyFont="1"/>
    <xf numFmtId="2" fontId="0" fillId="0" borderId="8" xfId="0" applyNumberFormat="1" applyBorder="1" applyAlignment="1">
      <alignment horizontal="center"/>
    </xf>
    <xf numFmtId="0" fontId="3" fillId="0" borderId="31" xfId="0" applyFont="1" applyFill="1" applyBorder="1" applyAlignment="1">
      <alignment horizontal="justify" wrapText="1"/>
    </xf>
    <xf numFmtId="2" fontId="0" fillId="0" borderId="33" xfId="0" applyNumberForma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5" fillId="0" borderId="34" xfId="0" applyFont="1" applyBorder="1" applyAlignment="1">
      <alignment vertical="center" wrapText="1"/>
    </xf>
    <xf numFmtId="2" fontId="0" fillId="0" borderId="32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3" fillId="0" borderId="3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5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3" fillId="0" borderId="50" xfId="0" applyFont="1" applyBorder="1" applyAlignment="1">
      <alignment horizontal="justify" wrapText="1"/>
    </xf>
    <xf numFmtId="0" fontId="0" fillId="0" borderId="0" xfId="0" applyFill="1"/>
    <xf numFmtId="0" fontId="7" fillId="5" borderId="5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" fontId="0" fillId="5" borderId="0" xfId="0" applyNumberForma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0" fontId="0" fillId="5" borderId="0" xfId="0" applyFill="1"/>
    <xf numFmtId="0" fontId="1" fillId="6" borderId="55" xfId="0" applyFont="1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4" fontId="0" fillId="3" borderId="55" xfId="0" applyNumberFormat="1" applyFill="1" applyBorder="1" applyAlignment="1">
      <alignment horizontal="center"/>
    </xf>
    <xf numFmtId="2" fontId="0" fillId="3" borderId="55" xfId="0" applyNumberFormat="1" applyFill="1" applyBorder="1" applyAlignment="1">
      <alignment horizontal="center"/>
    </xf>
    <xf numFmtId="0" fontId="6" fillId="4" borderId="24" xfId="0" applyFont="1" applyFill="1" applyBorder="1" applyAlignment="1">
      <alignment vertical="center" wrapText="1"/>
    </xf>
    <xf numFmtId="3" fontId="0" fillId="5" borderId="19" xfId="0" applyNumberFormat="1" applyFill="1" applyBorder="1" applyAlignment="1">
      <alignment horizontal="center"/>
    </xf>
    <xf numFmtId="3" fontId="0" fillId="5" borderId="30" xfId="0" applyNumberFormat="1" applyFill="1" applyBorder="1" applyAlignment="1">
      <alignment horizontal="center"/>
    </xf>
    <xf numFmtId="1" fontId="0" fillId="5" borderId="22" xfId="0" applyNumberFormat="1" applyFill="1" applyBorder="1" applyAlignment="1">
      <alignment horizontal="center"/>
    </xf>
    <xf numFmtId="1" fontId="0" fillId="5" borderId="32" xfId="0" applyNumberFormat="1" applyFill="1" applyBorder="1" applyAlignment="1">
      <alignment horizontal="center"/>
    </xf>
    <xf numFmtId="3" fontId="0" fillId="5" borderId="20" xfId="0" applyNumberFormat="1" applyFill="1" applyBorder="1" applyAlignment="1">
      <alignment horizontal="center"/>
    </xf>
    <xf numFmtId="4" fontId="0" fillId="5" borderId="19" xfId="0" applyNumberFormat="1" applyFill="1" applyBorder="1" applyAlignment="1">
      <alignment horizontal="center"/>
    </xf>
    <xf numFmtId="4" fontId="0" fillId="5" borderId="22" xfId="0" applyNumberFormat="1" applyFill="1" applyBorder="1" applyAlignment="1">
      <alignment horizontal="center"/>
    </xf>
    <xf numFmtId="4" fontId="0" fillId="5" borderId="21" xfId="0" applyNumberFormat="1" applyFill="1" applyBorder="1" applyAlignment="1">
      <alignment horizontal="center"/>
    </xf>
    <xf numFmtId="4" fontId="0" fillId="5" borderId="20" xfId="0" applyNumberFormat="1" applyFill="1" applyBorder="1" applyAlignment="1">
      <alignment horizontal="center"/>
    </xf>
    <xf numFmtId="4" fontId="0" fillId="5" borderId="23" xfId="0" applyNumberFormat="1" applyFill="1" applyBorder="1" applyAlignment="1">
      <alignment horizontal="center"/>
    </xf>
    <xf numFmtId="0" fontId="5" fillId="0" borderId="53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4" fontId="0" fillId="5" borderId="30" xfId="0" applyNumberFormat="1" applyFill="1" applyBorder="1" applyAlignment="1">
      <alignment horizontal="center"/>
    </xf>
    <xf numFmtId="3" fontId="0" fillId="5" borderId="21" xfId="0" applyNumberFormat="1" applyFill="1" applyBorder="1" applyAlignment="1">
      <alignment horizontal="center"/>
    </xf>
    <xf numFmtId="4" fontId="0" fillId="0" borderId="22" xfId="0" applyNumberFormat="1" applyFill="1" applyBorder="1" applyAlignment="1">
      <alignment horizontal="center"/>
    </xf>
    <xf numFmtId="0" fontId="0" fillId="4" borderId="8" xfId="0" applyFill="1" applyBorder="1" applyAlignment="1">
      <alignment vertical="center" wrapText="1"/>
    </xf>
    <xf numFmtId="0" fontId="3" fillId="0" borderId="31" xfId="0" applyFont="1" applyBorder="1" applyAlignment="1">
      <alignment horizontal="justify" wrapText="1"/>
    </xf>
    <xf numFmtId="0" fontId="3" fillId="0" borderId="8" xfId="0" applyFont="1" applyBorder="1" applyAlignment="1">
      <alignment horizontal="center" wrapText="1"/>
    </xf>
    <xf numFmtId="0" fontId="8" fillId="0" borderId="7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5" fillId="0" borderId="65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3" fontId="0" fillId="5" borderId="32" xfId="0" applyNumberFormat="1" applyFill="1" applyBorder="1" applyAlignment="1">
      <alignment horizontal="center"/>
    </xf>
    <xf numFmtId="3" fontId="0" fillId="5" borderId="73" xfId="0" applyNumberFormat="1" applyFill="1" applyBorder="1" applyAlignment="1">
      <alignment horizontal="center"/>
    </xf>
    <xf numFmtId="0" fontId="3" fillId="0" borderId="65" xfId="0" applyFont="1" applyBorder="1" applyAlignment="1">
      <alignment horizontal="justify" wrapText="1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2" fontId="0" fillId="0" borderId="7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3" fillId="0" borderId="76" xfId="0" applyFont="1" applyBorder="1" applyAlignment="1">
      <alignment horizontal="justify" wrapText="1"/>
    </xf>
    <xf numFmtId="0" fontId="3" fillId="0" borderId="77" xfId="0" applyFont="1" applyBorder="1" applyAlignment="1">
      <alignment horizontal="center" wrapText="1"/>
    </xf>
    <xf numFmtId="4" fontId="0" fillId="0" borderId="21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3" fontId="0" fillId="5" borderId="23" xfId="0" applyNumberFormat="1" applyFill="1" applyBorder="1" applyAlignment="1">
      <alignment horizontal="center"/>
    </xf>
    <xf numFmtId="4" fontId="8" fillId="0" borderId="22" xfId="0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horizontal="center"/>
    </xf>
    <xf numFmtId="0" fontId="8" fillId="0" borderId="79" xfId="0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/>
    <xf numFmtId="4" fontId="0" fillId="0" borderId="30" xfId="0" applyNumberFormat="1" applyFill="1" applyBorder="1" applyAlignment="1">
      <alignment horizontal="center"/>
    </xf>
    <xf numFmtId="0" fontId="5" fillId="0" borderId="52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/>
    </xf>
    <xf numFmtId="2" fontId="8" fillId="0" borderId="80" xfId="0" applyNumberFormat="1" applyFont="1" applyBorder="1" applyAlignment="1">
      <alignment horizontal="center"/>
    </xf>
    <xf numFmtId="0" fontId="6" fillId="4" borderId="59" xfId="0" applyFont="1" applyFill="1" applyBorder="1" applyAlignment="1">
      <alignment vertical="center"/>
    </xf>
    <xf numFmtId="0" fontId="6" fillId="4" borderId="54" xfId="0" applyFont="1" applyFill="1" applyBorder="1" applyAlignment="1">
      <alignment vertical="center"/>
    </xf>
    <xf numFmtId="0" fontId="6" fillId="4" borderId="59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7" fillId="2" borderId="59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0" fillId="4" borderId="54" xfId="0" applyFill="1" applyBorder="1" applyAlignment="1">
      <alignment vertical="center"/>
    </xf>
    <xf numFmtId="0" fontId="0" fillId="4" borderId="63" xfId="0" applyFill="1" applyBorder="1" applyAlignment="1">
      <alignment vertical="center"/>
    </xf>
    <xf numFmtId="0" fontId="0" fillId="4" borderId="60" xfId="0" applyFill="1" applyBorder="1" applyAlignment="1">
      <alignment vertical="center"/>
    </xf>
    <xf numFmtId="0" fontId="0" fillId="4" borderId="61" xfId="0" applyFill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5" fillId="0" borderId="52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4" borderId="63" xfId="0" applyFill="1" applyBorder="1" applyAlignment="1"/>
    <xf numFmtId="0" fontId="6" fillId="4" borderId="60" xfId="0" applyFont="1" applyFill="1" applyBorder="1" applyAlignment="1">
      <alignment vertical="center"/>
    </xf>
    <xf numFmtId="0" fontId="0" fillId="4" borderId="61" xfId="0" applyFill="1" applyBorder="1" applyAlignment="1"/>
    <xf numFmtId="0" fontId="6" fillId="4" borderId="59" xfId="0" applyFont="1" applyFill="1" applyBorder="1" applyAlignment="1">
      <alignment vertical="center" wrapText="1"/>
    </xf>
    <xf numFmtId="0" fontId="0" fillId="4" borderId="54" xfId="0" applyFill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15" fillId="7" borderId="5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0" fillId="0" borderId="62" xfId="0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0" fillId="4" borderId="70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6" fillId="4" borderId="59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left" vertical="center" wrapText="1"/>
    </xf>
    <xf numFmtId="0" fontId="6" fillId="4" borderId="60" xfId="0" applyFont="1" applyFill="1" applyBorder="1" applyAlignment="1">
      <alignment horizontal="left" vertical="center" wrapText="1"/>
    </xf>
    <xf numFmtId="2" fontId="7" fillId="2" borderId="24" xfId="0" applyNumberFormat="1" applyFont="1" applyFill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0" fontId="0" fillId="0" borderId="66" xfId="0" applyBorder="1" applyAlignment="1"/>
    <xf numFmtId="0" fontId="7" fillId="2" borderId="60" xfId="0" applyFont="1" applyFill="1" applyBorder="1" applyAlignment="1">
      <alignment horizontal="left" vertical="center"/>
    </xf>
    <xf numFmtId="0" fontId="0" fillId="0" borderId="67" xfId="0" applyBorder="1" applyAlignment="1"/>
    <xf numFmtId="0" fontId="6" fillId="4" borderId="24" xfId="0" applyFont="1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6" fillId="4" borderId="24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13" fillId="0" borderId="0" xfId="0" applyFont="1" applyFill="1" applyBorder="1" applyAlignment="1">
      <alignment horizontal="justify" wrapText="1"/>
    </xf>
    <xf numFmtId="0" fontId="0" fillId="0" borderId="0" xfId="0" applyAlignment="1"/>
    <xf numFmtId="0" fontId="0" fillId="0" borderId="36" xfId="0" applyBorder="1" applyAlignment="1"/>
    <xf numFmtId="0" fontId="0" fillId="0" borderId="6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H40"/>
  <sheetViews>
    <sheetView zoomScale="85" zoomScaleNormal="85" workbookViewId="0">
      <selection activeCell="D45" sqref="D45"/>
    </sheetView>
  </sheetViews>
  <sheetFormatPr baseColWidth="10" defaultRowHeight="13.2" x14ac:dyDescent="0.25"/>
  <cols>
    <col min="1" max="1" width="24" customWidth="1"/>
    <col min="2" max="2" width="28.88671875" customWidth="1"/>
    <col min="3" max="3" width="17.33203125" customWidth="1"/>
    <col min="4" max="4" width="44.5546875" bestFit="1" customWidth="1"/>
    <col min="5" max="5" width="15.5546875" customWidth="1"/>
    <col min="6" max="7" width="34.88671875" customWidth="1"/>
  </cols>
  <sheetData>
    <row r="1" spans="1:7" ht="14.25" customHeight="1" thickTop="1" thickBot="1" x14ac:dyDescent="0.3">
      <c r="A1" s="158" t="s">
        <v>25</v>
      </c>
      <c r="B1" s="161" t="s">
        <v>26</v>
      </c>
      <c r="C1" s="164" t="s">
        <v>71</v>
      </c>
      <c r="D1" s="161" t="s">
        <v>54</v>
      </c>
      <c r="E1" s="164" t="s">
        <v>71</v>
      </c>
      <c r="F1" s="156" t="s">
        <v>66</v>
      </c>
      <c r="G1" s="157"/>
    </row>
    <row r="2" spans="1:7" ht="14.4" thickTop="1" thickBot="1" x14ac:dyDescent="0.3">
      <c r="A2" s="159"/>
      <c r="B2" s="162"/>
      <c r="C2" s="165"/>
      <c r="D2" s="162"/>
      <c r="E2" s="165"/>
      <c r="F2" s="156"/>
      <c r="G2" s="157"/>
    </row>
    <row r="3" spans="1:7" ht="16.8" thickTop="1" thickBot="1" x14ac:dyDescent="0.3">
      <c r="A3" s="160"/>
      <c r="B3" s="163"/>
      <c r="C3" s="166"/>
      <c r="D3" s="163"/>
      <c r="E3" s="166"/>
      <c r="F3" s="58">
        <v>0</v>
      </c>
      <c r="G3" s="57">
        <v>1</v>
      </c>
    </row>
    <row r="4" spans="1:7" ht="13.8" thickTop="1" x14ac:dyDescent="0.25">
      <c r="A4" s="151" t="s">
        <v>0</v>
      </c>
      <c r="B4" s="167" t="s">
        <v>79</v>
      </c>
      <c r="C4" s="169">
        <f>'Puntuación nivel 1 ponderada'!C3</f>
        <v>0.4</v>
      </c>
      <c r="D4" s="7" t="s">
        <v>80</v>
      </c>
      <c r="E4" s="62">
        <v>5</v>
      </c>
      <c r="F4" s="71" t="s">
        <v>68</v>
      </c>
      <c r="G4" s="72" t="s">
        <v>67</v>
      </c>
    </row>
    <row r="5" spans="1:7" ht="13.5" customHeight="1" thickBot="1" x14ac:dyDescent="0.3">
      <c r="A5" s="152"/>
      <c r="B5" s="168"/>
      <c r="C5" s="170"/>
      <c r="D5" s="4" t="s">
        <v>81</v>
      </c>
      <c r="E5" s="63">
        <v>5</v>
      </c>
      <c r="F5" s="71" t="s">
        <v>67</v>
      </c>
      <c r="G5" s="72" t="s">
        <v>68</v>
      </c>
    </row>
    <row r="6" spans="1:7" ht="13.8" thickBot="1" x14ac:dyDescent="0.3">
      <c r="A6" s="152"/>
      <c r="B6" s="147" t="s">
        <v>44</v>
      </c>
      <c r="C6" s="148">
        <f>'Puntuación nivel 1 ponderada'!C4</f>
        <v>0.6</v>
      </c>
      <c r="D6" s="3" t="s">
        <v>86</v>
      </c>
      <c r="E6" s="66">
        <v>10</v>
      </c>
      <c r="F6" s="73" t="s">
        <v>67</v>
      </c>
      <c r="G6" s="74" t="s">
        <v>68</v>
      </c>
    </row>
    <row r="7" spans="1:7" ht="13.8" thickTop="1" x14ac:dyDescent="0.25">
      <c r="A7" s="151" t="s">
        <v>1</v>
      </c>
      <c r="B7" s="176"/>
      <c r="C7" s="171">
        <f>'Puntuación nivel 1 ponderada'!C5</f>
        <v>1</v>
      </c>
      <c r="D7" s="7" t="s">
        <v>2</v>
      </c>
      <c r="E7" s="68">
        <v>2</v>
      </c>
      <c r="F7" s="77" t="s">
        <v>68</v>
      </c>
      <c r="G7" s="61" t="s">
        <v>67</v>
      </c>
    </row>
    <row r="8" spans="1:7" x14ac:dyDescent="0.25">
      <c r="A8" s="177"/>
      <c r="B8" s="178"/>
      <c r="C8" s="174"/>
      <c r="D8" s="4" t="s">
        <v>94</v>
      </c>
      <c r="E8" s="63">
        <v>6</v>
      </c>
      <c r="F8" s="71" t="s">
        <v>68</v>
      </c>
      <c r="G8" s="72" t="s">
        <v>67</v>
      </c>
    </row>
    <row r="9" spans="1:7" ht="13.8" thickBot="1" x14ac:dyDescent="0.3">
      <c r="A9" s="179"/>
      <c r="B9" s="180"/>
      <c r="C9" s="175"/>
      <c r="D9" s="6" t="s">
        <v>43</v>
      </c>
      <c r="E9" s="67">
        <v>2</v>
      </c>
      <c r="F9" s="60" t="s">
        <v>67</v>
      </c>
      <c r="G9" s="75" t="s">
        <v>68</v>
      </c>
    </row>
    <row r="10" spans="1:7" ht="14.4" thickTop="1" thickBot="1" x14ac:dyDescent="0.3">
      <c r="A10" s="151" t="s">
        <v>3</v>
      </c>
      <c r="B10" s="181" t="s">
        <v>4</v>
      </c>
      <c r="C10" s="171">
        <f>'Puntuación nivel 1 ponderada'!C6</f>
        <v>0.4</v>
      </c>
      <c r="D10" s="7" t="s">
        <v>5</v>
      </c>
      <c r="E10" s="68">
        <v>6</v>
      </c>
      <c r="F10" s="77" t="s">
        <v>69</v>
      </c>
      <c r="G10" s="61" t="s">
        <v>70</v>
      </c>
    </row>
    <row r="11" spans="1:7" ht="13.8" thickBot="1" x14ac:dyDescent="0.3">
      <c r="A11" s="177"/>
      <c r="B11" s="182"/>
      <c r="C11" s="172"/>
      <c r="D11" s="8" t="s">
        <v>95</v>
      </c>
      <c r="E11" s="65">
        <v>4</v>
      </c>
      <c r="F11" s="78" t="s">
        <v>68</v>
      </c>
      <c r="G11" s="79" t="s">
        <v>67</v>
      </c>
    </row>
    <row r="12" spans="1:7" ht="13.8" thickBot="1" x14ac:dyDescent="0.3">
      <c r="A12" s="177"/>
      <c r="B12" s="183" t="s">
        <v>6</v>
      </c>
      <c r="C12" s="173">
        <f>'Puntuación nivel 1 ponderada'!C7</f>
        <v>0.6</v>
      </c>
      <c r="D12" s="3" t="s">
        <v>7</v>
      </c>
      <c r="E12" s="66">
        <v>3</v>
      </c>
      <c r="F12" s="73" t="s">
        <v>67</v>
      </c>
      <c r="G12" s="74" t="s">
        <v>70</v>
      </c>
    </row>
    <row r="13" spans="1:7" ht="13.8" thickBot="1" x14ac:dyDescent="0.3">
      <c r="A13" s="177"/>
      <c r="B13" s="184"/>
      <c r="C13" s="174"/>
      <c r="D13" s="8" t="s">
        <v>37</v>
      </c>
      <c r="E13" s="65">
        <v>3</v>
      </c>
      <c r="F13" s="71" t="s">
        <v>67</v>
      </c>
      <c r="G13" s="72" t="s">
        <v>70</v>
      </c>
    </row>
    <row r="14" spans="1:7" ht="13.8" thickBot="1" x14ac:dyDescent="0.3">
      <c r="A14" s="177"/>
      <c r="B14" s="184"/>
      <c r="C14" s="174"/>
      <c r="D14" s="8" t="s">
        <v>38</v>
      </c>
      <c r="E14" s="65">
        <v>2</v>
      </c>
      <c r="F14" s="71" t="s">
        <v>67</v>
      </c>
      <c r="G14" s="72" t="s">
        <v>70</v>
      </c>
    </row>
    <row r="15" spans="1:7" ht="13.8" thickBot="1" x14ac:dyDescent="0.3">
      <c r="A15" s="179"/>
      <c r="B15" s="185"/>
      <c r="C15" s="175"/>
      <c r="D15" s="6" t="s">
        <v>8</v>
      </c>
      <c r="E15" s="67">
        <v>2</v>
      </c>
      <c r="F15" s="60" t="s">
        <v>67</v>
      </c>
      <c r="G15" s="75" t="s">
        <v>70</v>
      </c>
    </row>
    <row r="16" spans="1:7" ht="14.4" customHeight="1" thickTop="1" thickBot="1" x14ac:dyDescent="0.3">
      <c r="A16" s="199" t="s">
        <v>9</v>
      </c>
      <c r="B16" s="181" t="s">
        <v>10</v>
      </c>
      <c r="C16" s="171">
        <v>1</v>
      </c>
      <c r="D16" s="7" t="s">
        <v>11</v>
      </c>
      <c r="E16" s="68">
        <v>4</v>
      </c>
      <c r="F16" s="59" t="s">
        <v>68</v>
      </c>
      <c r="G16" s="80" t="s">
        <v>67</v>
      </c>
    </row>
    <row r="17" spans="1:8" ht="13.8" thickBot="1" x14ac:dyDescent="0.3">
      <c r="A17" s="200"/>
      <c r="B17" s="182"/>
      <c r="C17" s="174"/>
      <c r="D17" s="4" t="s">
        <v>100</v>
      </c>
      <c r="E17" s="63">
        <v>2</v>
      </c>
      <c r="F17" s="81" t="s">
        <v>68</v>
      </c>
      <c r="G17" s="82" t="s">
        <v>67</v>
      </c>
    </row>
    <row r="18" spans="1:8" ht="13.8" thickBot="1" x14ac:dyDescent="0.3">
      <c r="A18" s="200"/>
      <c r="B18" s="182"/>
      <c r="C18" s="174"/>
      <c r="D18" s="8" t="s">
        <v>99</v>
      </c>
      <c r="E18" s="65">
        <v>2</v>
      </c>
      <c r="F18" s="142" t="s">
        <v>67</v>
      </c>
      <c r="G18" s="143" t="s">
        <v>68</v>
      </c>
    </row>
    <row r="19" spans="1:8" ht="13.8" thickBot="1" x14ac:dyDescent="0.3">
      <c r="A19" s="201"/>
      <c r="B19" s="182"/>
      <c r="C19" s="172"/>
      <c r="D19" s="5" t="s">
        <v>101</v>
      </c>
      <c r="E19" s="64">
        <v>2</v>
      </c>
      <c r="F19" s="78" t="s">
        <v>68</v>
      </c>
      <c r="G19" s="79" t="s">
        <v>67</v>
      </c>
    </row>
    <row r="20" spans="1:8" ht="14.4" thickTop="1" thickBot="1" x14ac:dyDescent="0.3">
      <c r="A20" s="195" t="s">
        <v>12</v>
      </c>
      <c r="B20" s="54" t="s">
        <v>65</v>
      </c>
      <c r="C20" s="88">
        <f>'Puntuación nivel 1 ponderada'!C9</f>
        <v>0.1</v>
      </c>
      <c r="D20" s="7" t="s">
        <v>72</v>
      </c>
      <c r="E20" s="69">
        <v>10</v>
      </c>
      <c r="F20" s="86" t="s">
        <v>67</v>
      </c>
      <c r="G20" s="87" t="s">
        <v>68</v>
      </c>
    </row>
    <row r="21" spans="1:8" x14ac:dyDescent="0.25">
      <c r="A21" s="196"/>
      <c r="B21" s="197" t="s">
        <v>14</v>
      </c>
      <c r="C21" s="190">
        <f>'Puntuación nivel 1 ponderada'!C10</f>
        <v>0.1</v>
      </c>
      <c r="D21" s="3" t="s">
        <v>32</v>
      </c>
      <c r="E21" s="66">
        <v>5</v>
      </c>
      <c r="F21" s="83" t="s">
        <v>67</v>
      </c>
      <c r="G21" s="84" t="s">
        <v>68</v>
      </c>
    </row>
    <row r="22" spans="1:8" ht="13.8" thickBot="1" x14ac:dyDescent="0.3">
      <c r="A22" s="196"/>
      <c r="B22" s="198"/>
      <c r="C22" s="191"/>
      <c r="D22" s="5" t="s">
        <v>33</v>
      </c>
      <c r="E22" s="64">
        <v>5</v>
      </c>
      <c r="F22" s="78" t="s">
        <v>67</v>
      </c>
      <c r="G22" s="79" t="s">
        <v>68</v>
      </c>
    </row>
    <row r="23" spans="1:8" x14ac:dyDescent="0.25">
      <c r="A23" s="196"/>
      <c r="B23" s="197" t="s">
        <v>15</v>
      </c>
      <c r="C23" s="190">
        <f>'Puntuación nivel 1 ponderada'!C11</f>
        <v>0.2</v>
      </c>
      <c r="D23" s="3" t="s">
        <v>34</v>
      </c>
      <c r="E23" s="66">
        <v>3</v>
      </c>
      <c r="F23" s="83" t="s">
        <v>67</v>
      </c>
      <c r="G23" s="84" t="s">
        <v>68</v>
      </c>
    </row>
    <row r="24" spans="1:8" x14ac:dyDescent="0.25">
      <c r="A24" s="196"/>
      <c r="B24" s="168"/>
      <c r="C24" s="170"/>
      <c r="D24" s="4" t="s">
        <v>35</v>
      </c>
      <c r="E24" s="63">
        <v>4</v>
      </c>
      <c r="F24" s="81" t="s">
        <v>67</v>
      </c>
      <c r="G24" s="82" t="s">
        <v>68</v>
      </c>
    </row>
    <row r="25" spans="1:8" ht="13.8" thickBot="1" x14ac:dyDescent="0.3">
      <c r="A25" s="196"/>
      <c r="B25" s="198"/>
      <c r="C25" s="191"/>
      <c r="D25" s="5" t="s">
        <v>36</v>
      </c>
      <c r="E25" s="64">
        <v>3</v>
      </c>
      <c r="F25" s="78" t="s">
        <v>67</v>
      </c>
      <c r="G25" s="79" t="s">
        <v>68</v>
      </c>
    </row>
    <row r="26" spans="1:8" ht="13.8" thickBot="1" x14ac:dyDescent="0.3">
      <c r="A26" s="196"/>
      <c r="B26" s="91" t="s">
        <v>16</v>
      </c>
      <c r="C26" s="90">
        <f>'Puntuación nivel 1 ponderada'!C12</f>
        <v>0.3</v>
      </c>
      <c r="D26" s="3" t="s">
        <v>84</v>
      </c>
      <c r="E26" s="66">
        <v>10</v>
      </c>
      <c r="F26" s="83" t="s">
        <v>68</v>
      </c>
      <c r="G26" s="84" t="s">
        <v>67</v>
      </c>
      <c r="H26" s="93"/>
    </row>
    <row r="27" spans="1:8" ht="13.8" thickBot="1" x14ac:dyDescent="0.3">
      <c r="A27" s="196"/>
      <c r="B27" s="115" t="s">
        <v>17</v>
      </c>
      <c r="C27" s="116">
        <f>'Puntuación nivel 1 ponderada'!C13</f>
        <v>0.3</v>
      </c>
      <c r="D27" s="3" t="s">
        <v>73</v>
      </c>
      <c r="E27" s="66">
        <v>10</v>
      </c>
      <c r="F27" s="83" t="s">
        <v>67</v>
      </c>
      <c r="G27" s="84" t="s">
        <v>68</v>
      </c>
    </row>
    <row r="28" spans="1:8" ht="13.95" customHeight="1" thickTop="1" x14ac:dyDescent="0.25">
      <c r="A28" s="153" t="s">
        <v>18</v>
      </c>
      <c r="B28" s="187" t="s">
        <v>74</v>
      </c>
      <c r="C28" s="171">
        <v>0.25</v>
      </c>
      <c r="D28" s="7" t="s">
        <v>75</v>
      </c>
      <c r="E28" s="68">
        <v>3</v>
      </c>
      <c r="F28" s="59" t="s">
        <v>67</v>
      </c>
      <c r="G28" s="80" t="s">
        <v>68</v>
      </c>
    </row>
    <row r="29" spans="1:8" ht="13.2" customHeight="1" x14ac:dyDescent="0.25">
      <c r="A29" s="154"/>
      <c r="B29" s="188"/>
      <c r="C29" s="174"/>
      <c r="D29" s="50" t="s">
        <v>76</v>
      </c>
      <c r="E29" s="70">
        <v>2</v>
      </c>
      <c r="F29" s="81" t="s">
        <v>67</v>
      </c>
      <c r="G29" s="82" t="s">
        <v>68</v>
      </c>
    </row>
    <row r="30" spans="1:8" ht="13.2" customHeight="1" x14ac:dyDescent="0.25">
      <c r="A30" s="154"/>
      <c r="B30" s="188"/>
      <c r="C30" s="174"/>
      <c r="D30" s="4" t="s">
        <v>77</v>
      </c>
      <c r="E30" s="63">
        <v>3</v>
      </c>
      <c r="F30" s="81" t="s">
        <v>67</v>
      </c>
      <c r="G30" s="82" t="s">
        <v>68</v>
      </c>
    </row>
    <row r="31" spans="1:8" ht="13.95" customHeight="1" thickBot="1" x14ac:dyDescent="0.3">
      <c r="A31" s="154"/>
      <c r="B31" s="189"/>
      <c r="C31" s="172"/>
      <c r="D31" s="5" t="s">
        <v>22</v>
      </c>
      <c r="E31" s="64">
        <v>2</v>
      </c>
      <c r="F31" s="78" t="s">
        <v>67</v>
      </c>
      <c r="G31" s="79" t="s">
        <v>68</v>
      </c>
    </row>
    <row r="32" spans="1:8" ht="13.95" customHeight="1" thickBot="1" x14ac:dyDescent="0.3">
      <c r="A32" s="154"/>
      <c r="B32" s="183" t="s">
        <v>20</v>
      </c>
      <c r="C32" s="173">
        <v>0.25</v>
      </c>
      <c r="D32" s="3" t="s">
        <v>63</v>
      </c>
      <c r="E32" s="66">
        <v>2.5</v>
      </c>
      <c r="F32" s="83" t="s">
        <v>67</v>
      </c>
      <c r="G32" s="84" t="s">
        <v>68</v>
      </c>
    </row>
    <row r="33" spans="1:7" ht="13.95" customHeight="1" thickBot="1" x14ac:dyDescent="0.3">
      <c r="A33" s="154"/>
      <c r="B33" s="182"/>
      <c r="C33" s="174"/>
      <c r="D33" s="4" t="s">
        <v>21</v>
      </c>
      <c r="E33" s="63">
        <v>1</v>
      </c>
      <c r="F33" s="81" t="s">
        <v>67</v>
      </c>
      <c r="G33" s="82" t="s">
        <v>68</v>
      </c>
    </row>
    <row r="34" spans="1:7" ht="13.95" customHeight="1" thickBot="1" x14ac:dyDescent="0.3">
      <c r="A34" s="154"/>
      <c r="B34" s="182"/>
      <c r="C34" s="174"/>
      <c r="D34" s="4" t="s">
        <v>23</v>
      </c>
      <c r="E34" s="63">
        <v>1</v>
      </c>
      <c r="F34" s="81" t="s">
        <v>67</v>
      </c>
      <c r="G34" s="82" t="s">
        <v>68</v>
      </c>
    </row>
    <row r="35" spans="1:7" ht="13.95" customHeight="1" thickBot="1" x14ac:dyDescent="0.3">
      <c r="A35" s="154"/>
      <c r="B35" s="182"/>
      <c r="C35" s="174"/>
      <c r="D35" s="4" t="s">
        <v>24</v>
      </c>
      <c r="E35" s="63">
        <v>2.5</v>
      </c>
      <c r="F35" s="81" t="s">
        <v>67</v>
      </c>
      <c r="G35" s="82" t="s">
        <v>68</v>
      </c>
    </row>
    <row r="36" spans="1:7" ht="13.95" customHeight="1" thickBot="1" x14ac:dyDescent="0.3">
      <c r="A36" s="154"/>
      <c r="B36" s="182"/>
      <c r="C36" s="174"/>
      <c r="D36" s="5" t="s">
        <v>78</v>
      </c>
      <c r="E36" s="64">
        <v>3</v>
      </c>
      <c r="F36" s="78" t="s">
        <v>67</v>
      </c>
      <c r="G36" s="79" t="s">
        <v>68</v>
      </c>
    </row>
    <row r="37" spans="1:7" ht="13.8" thickBot="1" x14ac:dyDescent="0.3">
      <c r="A37" s="155"/>
      <c r="B37" s="125" t="s">
        <v>97</v>
      </c>
      <c r="C37" s="126">
        <v>0.5</v>
      </c>
      <c r="D37" s="121" t="s">
        <v>98</v>
      </c>
      <c r="E37" s="122">
        <v>10</v>
      </c>
      <c r="F37" s="123" t="s">
        <v>67</v>
      </c>
      <c r="G37" s="124" t="s">
        <v>68</v>
      </c>
    </row>
    <row r="38" spans="1:7" ht="13.8" thickTop="1" x14ac:dyDescent="0.25">
      <c r="A38" s="151" t="s">
        <v>62</v>
      </c>
      <c r="B38" s="192"/>
      <c r="C38" s="186">
        <f>'Puntuación nivel 1 ponderada'!C17</f>
        <v>1</v>
      </c>
      <c r="D38" s="92" t="s">
        <v>83</v>
      </c>
      <c r="E38" s="69">
        <v>6</v>
      </c>
      <c r="F38" s="59" t="s">
        <v>67</v>
      </c>
      <c r="G38" s="80" t="s">
        <v>68</v>
      </c>
    </row>
    <row r="39" spans="1:7" ht="13.8" thickBot="1" x14ac:dyDescent="0.3">
      <c r="A39" s="193"/>
      <c r="B39" s="194"/>
      <c r="C39" s="175"/>
      <c r="D39" s="6" t="s">
        <v>96</v>
      </c>
      <c r="E39" s="67">
        <v>4</v>
      </c>
      <c r="F39" s="85" t="s">
        <v>67</v>
      </c>
      <c r="G39" s="76" t="s">
        <v>68</v>
      </c>
    </row>
    <row r="40" spans="1:7" ht="13.8" thickTop="1" x14ac:dyDescent="0.25"/>
  </sheetData>
  <mergeCells count="31">
    <mergeCell ref="C7:C9"/>
    <mergeCell ref="C38:C39"/>
    <mergeCell ref="B16:B19"/>
    <mergeCell ref="B28:B31"/>
    <mergeCell ref="B32:B36"/>
    <mergeCell ref="C23:C25"/>
    <mergeCell ref="C28:C31"/>
    <mergeCell ref="C32:C36"/>
    <mergeCell ref="A38:B39"/>
    <mergeCell ref="A20:A27"/>
    <mergeCell ref="B21:B22"/>
    <mergeCell ref="B23:B25"/>
    <mergeCell ref="A16:A19"/>
    <mergeCell ref="C21:C22"/>
    <mergeCell ref="C16:C19"/>
    <mergeCell ref="A4:A6"/>
    <mergeCell ref="A28:A37"/>
    <mergeCell ref="F1:G2"/>
    <mergeCell ref="A1:A3"/>
    <mergeCell ref="B1:B3"/>
    <mergeCell ref="D1:D3"/>
    <mergeCell ref="C1:C3"/>
    <mergeCell ref="E1:E3"/>
    <mergeCell ref="B4:B5"/>
    <mergeCell ref="C4:C5"/>
    <mergeCell ref="C10:C11"/>
    <mergeCell ref="C12:C15"/>
    <mergeCell ref="A7:B9"/>
    <mergeCell ref="A10:A15"/>
    <mergeCell ref="B10:B11"/>
    <mergeCell ref="B12:B15"/>
  </mergeCells>
  <phoneticPr fontId="2" type="noConversion"/>
  <pageMargins left="0.75" right="0.75" top="1" bottom="1" header="0" footer="0"/>
  <pageSetup paperSize="256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P43"/>
  <sheetViews>
    <sheetView zoomScale="90" zoomScaleNormal="90" workbookViewId="0">
      <pane xSplit="3" ySplit="2" topLeftCell="D3" activePane="bottomRight" state="frozen"/>
      <selection activeCell="D7" sqref="D7"/>
      <selection pane="topRight" activeCell="D7" sqref="D7"/>
      <selection pane="bottomLeft" activeCell="D7" sqref="D7"/>
      <selection pane="bottomRight" activeCell="F24" sqref="F24"/>
    </sheetView>
  </sheetViews>
  <sheetFormatPr baseColWidth="10" defaultRowHeight="13.2" x14ac:dyDescent="0.25"/>
  <cols>
    <col min="1" max="1" width="16.6640625" customWidth="1"/>
    <col min="2" max="2" width="22.44140625" bestFit="1" customWidth="1"/>
    <col min="3" max="3" width="47" bestFit="1" customWidth="1"/>
    <col min="4" max="17" width="13.109375" customWidth="1"/>
    <col min="18" max="18" width="1.5546875" style="99" customWidth="1"/>
    <col min="19" max="19" width="18" style="10" customWidth="1"/>
    <col min="20" max="20" width="18.6640625" style="10" customWidth="1"/>
    <col min="21" max="57" width="11.44140625" style="10" customWidth="1"/>
  </cols>
  <sheetData>
    <row r="1" spans="1:68" ht="16.8" thickTop="1" thickBot="1" x14ac:dyDescent="0.3">
      <c r="A1" s="203" t="s">
        <v>25</v>
      </c>
      <c r="B1" s="156" t="s">
        <v>26</v>
      </c>
      <c r="C1" s="156" t="s">
        <v>54</v>
      </c>
      <c r="D1" s="156" t="s">
        <v>47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94"/>
      <c r="S1" s="202" t="s">
        <v>52</v>
      </c>
      <c r="T1" s="202"/>
      <c r="U1" s="202" t="s">
        <v>53</v>
      </c>
      <c r="V1" s="202"/>
      <c r="W1" s="13" t="s">
        <v>57</v>
      </c>
    </row>
    <row r="2" spans="1:68" ht="16.8" thickTop="1" thickBot="1" x14ac:dyDescent="0.35">
      <c r="A2" s="203"/>
      <c r="B2" s="156"/>
      <c r="C2" s="156"/>
      <c r="D2" s="2" t="s">
        <v>88</v>
      </c>
      <c r="E2" s="2" t="s">
        <v>27</v>
      </c>
      <c r="F2" s="2" t="s">
        <v>89</v>
      </c>
      <c r="G2" s="2" t="s">
        <v>28</v>
      </c>
      <c r="H2" s="2" t="s">
        <v>29</v>
      </c>
      <c r="I2" s="2" t="s">
        <v>41</v>
      </c>
      <c r="J2" s="2" t="s">
        <v>90</v>
      </c>
      <c r="K2" s="2" t="s">
        <v>30</v>
      </c>
      <c r="L2" s="2" t="s">
        <v>31</v>
      </c>
      <c r="M2" s="2" t="s">
        <v>40</v>
      </c>
      <c r="N2" s="2" t="s">
        <v>91</v>
      </c>
      <c r="O2" s="2" t="s">
        <v>39</v>
      </c>
      <c r="P2" s="2" t="s">
        <v>92</v>
      </c>
      <c r="Q2" s="2" t="s">
        <v>93</v>
      </c>
      <c r="R2" s="95"/>
      <c r="S2" s="100" t="s">
        <v>55</v>
      </c>
      <c r="T2" s="100" t="s">
        <v>56</v>
      </c>
      <c r="U2" s="100" t="s">
        <v>49</v>
      </c>
      <c r="V2" s="100" t="s">
        <v>50</v>
      </c>
    </row>
    <row r="3" spans="1:68" ht="13.8" thickTop="1" x14ac:dyDescent="0.25">
      <c r="A3" s="151" t="s">
        <v>0</v>
      </c>
      <c r="B3" s="167" t="s">
        <v>82</v>
      </c>
      <c r="C3" s="7" t="s">
        <v>80</v>
      </c>
      <c r="D3" s="110">
        <v>54</v>
      </c>
      <c r="E3" s="110">
        <v>46</v>
      </c>
      <c r="F3" s="110">
        <v>50</v>
      </c>
      <c r="G3" s="110">
        <v>46</v>
      </c>
      <c r="H3" s="110">
        <v>43</v>
      </c>
      <c r="I3" s="110">
        <v>41</v>
      </c>
      <c r="J3" s="110">
        <v>43</v>
      </c>
      <c r="K3" s="110">
        <v>40</v>
      </c>
      <c r="L3" s="110">
        <v>46</v>
      </c>
      <c r="M3" s="110">
        <v>41</v>
      </c>
      <c r="N3" s="110">
        <v>44</v>
      </c>
      <c r="O3" s="110">
        <v>39</v>
      </c>
      <c r="P3" s="110">
        <v>36</v>
      </c>
      <c r="Q3" s="110">
        <v>39</v>
      </c>
      <c r="R3" s="96"/>
      <c r="S3" s="101">
        <f>MIN(D3:Q3)</f>
        <v>36</v>
      </c>
      <c r="T3" s="101">
        <f>MAX(D3:Q3)</f>
        <v>54</v>
      </c>
      <c r="U3" s="101">
        <f>1/(T3-S3)</f>
        <v>5.5555555555555552E-2</v>
      </c>
      <c r="V3" s="101">
        <f t="shared" ref="V3:V21" si="0">1-(T3/(T3-S3))</f>
        <v>-2</v>
      </c>
    </row>
    <row r="4" spans="1:68" ht="13.8" thickBot="1" x14ac:dyDescent="0.3">
      <c r="A4" s="152"/>
      <c r="B4" s="168"/>
      <c r="C4" s="4" t="s">
        <v>81</v>
      </c>
      <c r="D4" s="113">
        <v>0</v>
      </c>
      <c r="E4" s="113">
        <v>90.027257831320171</v>
      </c>
      <c r="F4" s="113">
        <v>0</v>
      </c>
      <c r="G4" s="113">
        <v>0</v>
      </c>
      <c r="H4" s="113">
        <v>91.7945221433299</v>
      </c>
      <c r="I4" s="113">
        <v>91.669575257605544</v>
      </c>
      <c r="J4" s="113">
        <v>0</v>
      </c>
      <c r="K4" s="113">
        <v>0</v>
      </c>
      <c r="L4" s="113">
        <v>92.096529823349542</v>
      </c>
      <c r="M4" s="113">
        <v>91.980618223497089</v>
      </c>
      <c r="N4" s="113">
        <v>0</v>
      </c>
      <c r="O4" s="113">
        <v>0</v>
      </c>
      <c r="P4" s="113">
        <v>92.088808399839536</v>
      </c>
      <c r="Q4" s="113">
        <v>91.972721488100106</v>
      </c>
      <c r="R4" s="96"/>
      <c r="S4" s="102">
        <f>MAX(D4:Q4)</f>
        <v>92.096529823349542</v>
      </c>
      <c r="T4" s="102">
        <f>MIN(D4:Q4)</f>
        <v>0</v>
      </c>
      <c r="U4" s="101">
        <f t="shared" ref="U4:U21" si="1">1/(T4-S4)</f>
        <v>-1.0858172418853361E-2</v>
      </c>
      <c r="V4" s="101">
        <f t="shared" si="0"/>
        <v>1</v>
      </c>
    </row>
    <row r="5" spans="1:68" ht="13.8" thickBot="1" x14ac:dyDescent="0.3">
      <c r="A5" s="152"/>
      <c r="B5" s="147" t="s">
        <v>44</v>
      </c>
      <c r="C5" s="3" t="s">
        <v>86</v>
      </c>
      <c r="D5" s="119">
        <f>((7+58/60)+(8+22/60))/2</f>
        <v>8.1666666666666679</v>
      </c>
      <c r="E5" s="119">
        <f>((7+36/60)+(9+9/60))/2</f>
        <v>8.375</v>
      </c>
      <c r="F5" s="119">
        <f>((10+31/60)+(11+14/60))/2</f>
        <v>10.875</v>
      </c>
      <c r="G5" s="119">
        <f>((10+42/60)+(11+13/60))/2</f>
        <v>10.958333333333332</v>
      </c>
      <c r="H5" s="119">
        <f>((11+21/60)+(10+54/60))/2</f>
        <v>11.125</v>
      </c>
      <c r="I5" s="119">
        <f>((10+49/60)+(11+20/60))/2</f>
        <v>11.074999999999999</v>
      </c>
      <c r="J5" s="141">
        <f>((10+35/60)+(11+30/60))/2</f>
        <v>11.041666666666668</v>
      </c>
      <c r="K5" s="141">
        <f>((10+55/60)+(11+5/60))/2</f>
        <v>11</v>
      </c>
      <c r="L5" s="119">
        <f>((10+37/60)+(11+33/60))/2</f>
        <v>11.083333333333334</v>
      </c>
      <c r="M5" s="119">
        <f>((10+45/60)+(11+38/60))/2</f>
        <v>11.191666666666666</v>
      </c>
      <c r="N5" s="119">
        <f>((11+43/60)+(11+35/60))/2</f>
        <v>11.65</v>
      </c>
      <c r="O5" s="119">
        <f>((11+49/60)+(12+1/60))/2</f>
        <v>11.916666666666668</v>
      </c>
      <c r="P5" s="119">
        <f>((12+19/60)+(13+6/60))/2</f>
        <v>12.708333333333332</v>
      </c>
      <c r="Q5" s="119">
        <f>((12+7/60)+12)/2</f>
        <v>12.058333333333334</v>
      </c>
      <c r="R5" s="96"/>
      <c r="S5" s="101">
        <f>MAX(D5:Q5)</f>
        <v>12.708333333333332</v>
      </c>
      <c r="T5" s="101">
        <f>MIN(D5:Q5)</f>
        <v>8.1666666666666679</v>
      </c>
      <c r="U5" s="101">
        <f t="shared" si="1"/>
        <v>-0.22018348623853223</v>
      </c>
      <c r="V5" s="101">
        <f t="shared" si="0"/>
        <v>2.7981651376146801</v>
      </c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2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9" t="s">
        <v>42</v>
      </c>
      <c r="BG5" s="9" t="s">
        <v>42</v>
      </c>
      <c r="BH5" s="9" t="s">
        <v>42</v>
      </c>
      <c r="BI5" s="9" t="s">
        <v>42</v>
      </c>
      <c r="BJ5" s="9" t="s">
        <v>42</v>
      </c>
      <c r="BK5" s="9" t="s">
        <v>42</v>
      </c>
      <c r="BL5" s="9" t="s">
        <v>42</v>
      </c>
      <c r="BM5" s="9" t="s">
        <v>42</v>
      </c>
      <c r="BN5" s="9" t="s">
        <v>42</v>
      </c>
      <c r="BO5" s="9" t="s">
        <v>42</v>
      </c>
      <c r="BP5" s="9" t="s">
        <v>42</v>
      </c>
    </row>
    <row r="6" spans="1:68" ht="13.8" thickTop="1" x14ac:dyDescent="0.25">
      <c r="A6" s="151" t="s">
        <v>1</v>
      </c>
      <c r="B6" s="176"/>
      <c r="C6" s="7" t="s">
        <v>2</v>
      </c>
      <c r="D6" s="110">
        <v>25317.071847643674</v>
      </c>
      <c r="E6" s="110">
        <v>25317.0718476437</v>
      </c>
      <c r="F6" s="110">
        <v>28693.338291053165</v>
      </c>
      <c r="G6" s="110">
        <v>29001.1013715718</v>
      </c>
      <c r="H6" s="110">
        <v>28693.338291053165</v>
      </c>
      <c r="I6" s="110">
        <v>29001.1013715718</v>
      </c>
      <c r="J6" s="110">
        <v>28693.338291053165</v>
      </c>
      <c r="K6" s="110">
        <v>29001.1013715718</v>
      </c>
      <c r="L6" s="110">
        <v>28693.338291053165</v>
      </c>
      <c r="M6" s="110">
        <v>29001.1013715718</v>
      </c>
      <c r="N6" s="110">
        <v>28693.338291053165</v>
      </c>
      <c r="O6" s="110">
        <v>29001.1013715718</v>
      </c>
      <c r="P6" s="110">
        <v>28693.338291053165</v>
      </c>
      <c r="Q6" s="110">
        <v>29001.1013715718</v>
      </c>
      <c r="R6" s="96"/>
      <c r="S6" s="101">
        <f>MIN(D6:Q6)</f>
        <v>25317.071847643674</v>
      </c>
      <c r="T6" s="101">
        <f>MAX(D6:Q6)</f>
        <v>29001.1013715718</v>
      </c>
      <c r="U6" s="101">
        <f t="shared" si="1"/>
        <v>2.7144190715761203E-4</v>
      </c>
      <c r="V6" s="101">
        <f t="shared" si="0"/>
        <v>-6.872114265970688</v>
      </c>
    </row>
    <row r="7" spans="1:68" x14ac:dyDescent="0.25">
      <c r="A7" s="177"/>
      <c r="B7" s="178"/>
      <c r="C7" s="4" t="s">
        <v>94</v>
      </c>
      <c r="D7" s="113">
        <f>D6/3006</f>
        <v>8.4221795900344887</v>
      </c>
      <c r="E7" s="113">
        <f>E6/3006</f>
        <v>8.4221795900344976</v>
      </c>
      <c r="F7" s="113">
        <f>F6/3651</f>
        <v>7.8590354125042907</v>
      </c>
      <c r="G7" s="113">
        <f>G6/3597</f>
        <v>8.0625803090274673</v>
      </c>
      <c r="H7" s="113">
        <f>H6/3654</f>
        <v>7.852583002477604</v>
      </c>
      <c r="I7" s="113">
        <f>I6/3600</f>
        <v>8.0558614921032774</v>
      </c>
      <c r="J7" s="113">
        <f>J6/3789</f>
        <v>7.5727997601090431</v>
      </c>
      <c r="K7" s="113">
        <f>K6/3743</f>
        <v>7.7480901340026183</v>
      </c>
      <c r="L7" s="113">
        <f>L6/3793</f>
        <v>7.5648136807416728</v>
      </c>
      <c r="M7" s="113">
        <f>M6/3739</f>
        <v>7.756379077713774</v>
      </c>
      <c r="N7" s="113">
        <f>N6/3785</f>
        <v>7.5808027189044029</v>
      </c>
      <c r="O7" s="113">
        <f>O6/3730</f>
        <v>7.7750942014937801</v>
      </c>
      <c r="P7" s="113">
        <f>P6/3788</f>
        <v>7.5747989152727468</v>
      </c>
      <c r="Q7" s="113">
        <f>Q6/3734</f>
        <v>7.7667652307369579</v>
      </c>
      <c r="R7" s="96"/>
      <c r="S7" s="101">
        <f>MIN(D7:Q7)</f>
        <v>7.5648136807416728</v>
      </c>
      <c r="T7" s="101">
        <f>MAX(D7:Q7)</f>
        <v>8.4221795900344976</v>
      </c>
      <c r="U7" s="101">
        <f t="shared" si="1"/>
        <v>1.1663631468911835</v>
      </c>
      <c r="V7" s="101">
        <f t="shared" si="0"/>
        <v>-8.823319890315334</v>
      </c>
    </row>
    <row r="8" spans="1:68" ht="13.8" thickBot="1" x14ac:dyDescent="0.3">
      <c r="A8" s="179"/>
      <c r="B8" s="180"/>
      <c r="C8" s="6" t="s">
        <v>43</v>
      </c>
      <c r="D8" s="140">
        <v>591.31639999999993</v>
      </c>
      <c r="E8" s="140">
        <v>591.31665999999996</v>
      </c>
      <c r="F8" s="140">
        <v>722.02148</v>
      </c>
      <c r="G8" s="140">
        <v>710.25780000000009</v>
      </c>
      <c r="H8" s="140">
        <v>723.29736000000003</v>
      </c>
      <c r="I8" s="140">
        <v>710.98631999999998</v>
      </c>
      <c r="J8" s="140">
        <v>750.04279999999994</v>
      </c>
      <c r="K8" s="140">
        <v>738.27800000000002</v>
      </c>
      <c r="L8" s="140">
        <v>751.87236000000007</v>
      </c>
      <c r="M8" s="140">
        <v>739.46622000000002</v>
      </c>
      <c r="N8" s="140">
        <v>748.07619999999997</v>
      </c>
      <c r="O8" s="140">
        <v>736.31236000000001</v>
      </c>
      <c r="P8" s="140">
        <v>749.48978</v>
      </c>
      <c r="Q8" s="140">
        <v>737.17944</v>
      </c>
      <c r="R8" s="96"/>
      <c r="S8" s="102">
        <f>MAX(D8:Q8)</f>
        <v>751.87236000000007</v>
      </c>
      <c r="T8" s="102">
        <f>MIN(D8:Q8)</f>
        <v>591.31639999999993</v>
      </c>
      <c r="U8" s="101">
        <f t="shared" si="1"/>
        <v>-6.2283580129943424E-3</v>
      </c>
      <c r="V8" s="101">
        <f t="shared" si="0"/>
        <v>4.6829302381549676</v>
      </c>
    </row>
    <row r="9" spans="1:68" ht="14.4" thickTop="1" thickBot="1" x14ac:dyDescent="0.3">
      <c r="A9" s="151" t="s">
        <v>3</v>
      </c>
      <c r="B9" s="181" t="s">
        <v>4</v>
      </c>
      <c r="C9" s="7" t="s">
        <v>5</v>
      </c>
      <c r="D9" s="138">
        <v>145.59</v>
      </c>
      <c r="E9" s="138">
        <v>145.59</v>
      </c>
      <c r="F9" s="138">
        <v>156.96</v>
      </c>
      <c r="G9" s="138">
        <v>158.69</v>
      </c>
      <c r="H9" s="138">
        <v>156.96</v>
      </c>
      <c r="I9" s="138">
        <v>158.69</v>
      </c>
      <c r="J9" s="138">
        <v>156.96</v>
      </c>
      <c r="K9" s="138">
        <v>158.69</v>
      </c>
      <c r="L9" s="138">
        <v>156.96</v>
      </c>
      <c r="M9" s="138">
        <v>158.69</v>
      </c>
      <c r="N9" s="138">
        <v>156.96</v>
      </c>
      <c r="O9" s="138">
        <v>158.69</v>
      </c>
      <c r="P9" s="138">
        <v>156.96</v>
      </c>
      <c r="Q9" s="138">
        <v>158.69</v>
      </c>
      <c r="R9" s="96"/>
      <c r="S9" s="101">
        <f>MAX(D9:Q9)</f>
        <v>158.69</v>
      </c>
      <c r="T9" s="101">
        <f>MIN(D9:Q9)</f>
        <v>145.59</v>
      </c>
      <c r="U9" s="101">
        <f t="shared" si="1"/>
        <v>-7.633587786259545E-2</v>
      </c>
      <c r="V9" s="101">
        <f t="shared" si="0"/>
        <v>12.113740458015272</v>
      </c>
    </row>
    <row r="10" spans="1:68" ht="13.8" thickBot="1" x14ac:dyDescent="0.3">
      <c r="A10" s="177"/>
      <c r="B10" s="182"/>
      <c r="C10" s="8" t="s">
        <v>95</v>
      </c>
      <c r="D10" s="112">
        <f>6/3.006</f>
        <v>1.9960079840319362</v>
      </c>
      <c r="E10" s="112">
        <f>6/3.006</f>
        <v>1.9960079840319362</v>
      </c>
      <c r="F10" s="112">
        <f>6/3.651</f>
        <v>1.6433853738701727</v>
      </c>
      <c r="G10" s="112">
        <f>6/3.597</f>
        <v>1.6680567139282736</v>
      </c>
      <c r="H10" s="112">
        <f>6/3.654</f>
        <v>1.6420361247947455</v>
      </c>
      <c r="I10" s="112">
        <f>6/3.599</f>
        <v>1.667129758266185</v>
      </c>
      <c r="J10" s="112">
        <f>6/3.789</f>
        <v>1.5835312747426762</v>
      </c>
      <c r="K10" s="112">
        <f>6/3.743</f>
        <v>1.6029922522041145</v>
      </c>
      <c r="L10" s="112">
        <f>6/3.793</f>
        <v>1.5818613234906407</v>
      </c>
      <c r="M10" s="112">
        <f>6/3.739</f>
        <v>1.6047071409467772</v>
      </c>
      <c r="N10" s="112">
        <f>6/3.785</f>
        <v>1.5852047556142668</v>
      </c>
      <c r="O10" s="112">
        <f>6/3.73</f>
        <v>1.6085790884718498</v>
      </c>
      <c r="P10" s="112">
        <f>6/3.788</f>
        <v>1.5839493136219642</v>
      </c>
      <c r="Q10" s="112">
        <f>6/3.733</f>
        <v>1.6072863648540048</v>
      </c>
      <c r="R10" s="96"/>
      <c r="S10" s="101">
        <f>MIN(D10:Q10)</f>
        <v>1.5818613234906407</v>
      </c>
      <c r="T10" s="101">
        <f>MAX(D10:Q10)</f>
        <v>1.9960079840319362</v>
      </c>
      <c r="U10" s="101">
        <f t="shared" si="1"/>
        <v>2.4146035578144849</v>
      </c>
      <c r="V10" s="101">
        <f t="shared" si="0"/>
        <v>-3.8195679796696309</v>
      </c>
    </row>
    <row r="11" spans="1:68" ht="13.8" thickBot="1" x14ac:dyDescent="0.3">
      <c r="A11" s="177"/>
      <c r="B11" s="183" t="s">
        <v>6</v>
      </c>
      <c r="C11" s="3" t="s">
        <v>7</v>
      </c>
      <c r="D11" s="111">
        <v>28</v>
      </c>
      <c r="E11" s="111">
        <v>27</v>
      </c>
      <c r="F11" s="111">
        <v>28</v>
      </c>
      <c r="G11" s="111">
        <v>31</v>
      </c>
      <c r="H11" s="111">
        <v>29</v>
      </c>
      <c r="I11" s="111">
        <v>31</v>
      </c>
      <c r="J11" s="111">
        <v>29</v>
      </c>
      <c r="K11" s="111">
        <v>32</v>
      </c>
      <c r="L11" s="111">
        <v>30</v>
      </c>
      <c r="M11" s="111">
        <v>31</v>
      </c>
      <c r="N11" s="111">
        <v>33</v>
      </c>
      <c r="O11" s="111">
        <v>35</v>
      </c>
      <c r="P11" s="111">
        <v>33</v>
      </c>
      <c r="Q11" s="111">
        <v>35</v>
      </c>
      <c r="R11" s="96"/>
      <c r="S11" s="101">
        <f>MAX(D11:Q11)</f>
        <v>35</v>
      </c>
      <c r="T11" s="101">
        <f>MIN(D11:Q11)</f>
        <v>27</v>
      </c>
      <c r="U11" s="101">
        <f t="shared" si="1"/>
        <v>-0.125</v>
      </c>
      <c r="V11" s="101">
        <f t="shared" si="0"/>
        <v>4.375</v>
      </c>
    </row>
    <row r="12" spans="1:68" ht="13.8" thickBot="1" x14ac:dyDescent="0.3">
      <c r="A12" s="177"/>
      <c r="B12" s="184"/>
      <c r="C12" s="8" t="s">
        <v>37</v>
      </c>
      <c r="D12" s="112">
        <v>8</v>
      </c>
      <c r="E12" s="112">
        <v>8</v>
      </c>
      <c r="F12" s="112">
        <v>30</v>
      </c>
      <c r="G12" s="112">
        <v>13</v>
      </c>
      <c r="H12" s="112">
        <v>30</v>
      </c>
      <c r="I12" s="112">
        <v>13</v>
      </c>
      <c r="J12" s="112">
        <v>30</v>
      </c>
      <c r="K12" s="112">
        <v>13</v>
      </c>
      <c r="L12" s="112">
        <v>30</v>
      </c>
      <c r="M12" s="112">
        <v>13</v>
      </c>
      <c r="N12" s="112">
        <v>41</v>
      </c>
      <c r="O12" s="112">
        <v>24</v>
      </c>
      <c r="P12" s="112">
        <v>42</v>
      </c>
      <c r="Q12" s="112">
        <v>25</v>
      </c>
      <c r="R12" s="96"/>
      <c r="S12" s="101">
        <f>MAX(D12:Q12)</f>
        <v>42</v>
      </c>
      <c r="T12" s="101">
        <f>MIN(D12:Q12)</f>
        <v>8</v>
      </c>
      <c r="U12" s="101">
        <f t="shared" si="1"/>
        <v>-2.9411764705882353E-2</v>
      </c>
      <c r="V12" s="101">
        <f t="shared" si="0"/>
        <v>1.2352941176470589</v>
      </c>
    </row>
    <row r="13" spans="1:68" ht="13.8" thickBot="1" x14ac:dyDescent="0.3">
      <c r="A13" s="177"/>
      <c r="B13" s="184"/>
      <c r="C13" s="8" t="s">
        <v>38</v>
      </c>
      <c r="D13" s="136">
        <v>2391</v>
      </c>
      <c r="E13" s="136">
        <v>2391</v>
      </c>
      <c r="F13" s="136">
        <v>2648</v>
      </c>
      <c r="G13" s="136">
        <v>2955</v>
      </c>
      <c r="H13" s="136">
        <v>2648</v>
      </c>
      <c r="I13" s="136">
        <v>2955</v>
      </c>
      <c r="J13" s="136">
        <v>3168</v>
      </c>
      <c r="K13" s="136">
        <v>3475</v>
      </c>
      <c r="L13" s="136">
        <v>3168</v>
      </c>
      <c r="M13" s="136">
        <v>3475</v>
      </c>
      <c r="N13" s="136">
        <v>3120</v>
      </c>
      <c r="O13" s="136">
        <v>3427</v>
      </c>
      <c r="P13" s="136">
        <v>3120</v>
      </c>
      <c r="Q13" s="136">
        <v>3427</v>
      </c>
      <c r="R13" s="96"/>
      <c r="S13" s="101">
        <f>MAX(D13:Q13)</f>
        <v>3475</v>
      </c>
      <c r="T13" s="101">
        <f>MIN(D13:Q13)</f>
        <v>2391</v>
      </c>
      <c r="U13" s="101">
        <f t="shared" si="1"/>
        <v>-9.225092250922509E-4</v>
      </c>
      <c r="V13" s="101">
        <f t="shared" si="0"/>
        <v>3.2057195571955721</v>
      </c>
    </row>
    <row r="14" spans="1:68" ht="13.8" thickBot="1" x14ac:dyDescent="0.3">
      <c r="A14" s="179"/>
      <c r="B14" s="185"/>
      <c r="C14" s="6" t="s">
        <v>8</v>
      </c>
      <c r="D14" s="114">
        <v>0</v>
      </c>
      <c r="E14" s="114">
        <v>0</v>
      </c>
      <c r="F14" s="137">
        <v>140</v>
      </c>
      <c r="G14" s="137">
        <v>140</v>
      </c>
      <c r="H14" s="137">
        <v>140</v>
      </c>
      <c r="I14" s="137">
        <v>140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96"/>
      <c r="S14" s="101">
        <f>MAX(D14:Q14)</f>
        <v>140</v>
      </c>
      <c r="T14" s="101">
        <f>MIN(D14:Q14)</f>
        <v>0</v>
      </c>
      <c r="U14" s="101">
        <f t="shared" si="1"/>
        <v>-7.1428571428571426E-3</v>
      </c>
      <c r="V14" s="101">
        <f t="shared" si="0"/>
        <v>1</v>
      </c>
    </row>
    <row r="15" spans="1:68" ht="14.4" customHeight="1" thickTop="1" thickBot="1" x14ac:dyDescent="0.3">
      <c r="A15" s="199" t="s">
        <v>85</v>
      </c>
      <c r="B15" s="181" t="s">
        <v>10</v>
      </c>
      <c r="C15" s="7" t="s">
        <v>11</v>
      </c>
      <c r="D15" s="138">
        <v>100</v>
      </c>
      <c r="E15" s="138">
        <v>100</v>
      </c>
      <c r="F15" s="138">
        <f>(3652-158)/3652</f>
        <v>0.95673603504928806</v>
      </c>
      <c r="G15" s="138">
        <f>(3597-158)/3597*100</f>
        <v>95.607450653322218</v>
      </c>
      <c r="H15" s="138">
        <f>(3654-158)/3654*100</f>
        <v>95.6759715380405</v>
      </c>
      <c r="I15" s="138">
        <f>(3600-158)/3600*100</f>
        <v>95.611111111111114</v>
      </c>
      <c r="J15" s="149">
        <f>(3789-13)/3789*100</f>
        <v>99.656901557139093</v>
      </c>
      <c r="K15" s="149">
        <f>(3743-13)/3743*100</f>
        <v>99.652685012022445</v>
      </c>
      <c r="L15" s="138">
        <f>(3793-13)/3793*100</f>
        <v>99.657263379910361</v>
      </c>
      <c r="M15" s="138">
        <f>(3739-13)/3739*100</f>
        <v>99.652313452794857</v>
      </c>
      <c r="N15" s="138">
        <f>(3785-53)/3785*100</f>
        <v>98.599735799207394</v>
      </c>
      <c r="O15" s="138">
        <f>(3730-53)/3730*100</f>
        <v>98.579088471849857</v>
      </c>
      <c r="P15" s="138">
        <f>(3788-53)/3788*100</f>
        <v>98.600844772967264</v>
      </c>
      <c r="Q15" s="138">
        <f>(3734-53)/3734*100</f>
        <v>98.580610605249063</v>
      </c>
      <c r="R15" s="96"/>
      <c r="S15" s="101">
        <f>MIN(D15:Q15)</f>
        <v>0.95673603504928806</v>
      </c>
      <c r="T15" s="101">
        <f>MAX(D15:Q15)</f>
        <v>100</v>
      </c>
      <c r="U15" s="101">
        <f t="shared" si="1"/>
        <v>1.0096597789364843E-2</v>
      </c>
      <c r="V15" s="101">
        <f t="shared" si="0"/>
        <v>-9.6597789364842868E-3</v>
      </c>
    </row>
    <row r="16" spans="1:68" ht="13.8" thickBot="1" x14ac:dyDescent="0.3">
      <c r="A16" s="200"/>
      <c r="B16" s="182"/>
      <c r="C16" s="4" t="s">
        <v>100</v>
      </c>
      <c r="D16" s="139">
        <v>87.673845381866528</v>
      </c>
      <c r="E16" s="139">
        <v>87.673845381866528</v>
      </c>
      <c r="F16" s="139">
        <v>83.466608618824139</v>
      </c>
      <c r="G16" s="139">
        <v>83.597074777792358</v>
      </c>
      <c r="H16" s="139">
        <v>83.587101366682276</v>
      </c>
      <c r="I16" s="139">
        <v>83.847246054697351</v>
      </c>
      <c r="J16" s="139">
        <v>90.659374852670794</v>
      </c>
      <c r="K16" s="139">
        <v>90.733243280661256</v>
      </c>
      <c r="L16" s="139">
        <v>90.668173896660548</v>
      </c>
      <c r="M16" s="139">
        <v>90.733243280661256</v>
      </c>
      <c r="N16" s="139">
        <v>83.953689225379321</v>
      </c>
      <c r="O16" s="139">
        <v>84.05715363282647</v>
      </c>
      <c r="P16" s="139">
        <v>84.15278181421094</v>
      </c>
      <c r="Q16" s="139">
        <v>84.087023791844658</v>
      </c>
      <c r="R16" s="96"/>
      <c r="S16" s="101">
        <f>MIN(D16:Q16)</f>
        <v>83.466608618824139</v>
      </c>
      <c r="T16" s="101">
        <f>MAX(D16:Q16)</f>
        <v>90.733243280661256</v>
      </c>
      <c r="U16" s="101">
        <f t="shared" si="1"/>
        <v>0.13761528500280826</v>
      </c>
      <c r="V16" s="101">
        <f t="shared" si="0"/>
        <v>-11.486281133297336</v>
      </c>
    </row>
    <row r="17" spans="1:22" ht="13.8" thickBot="1" x14ac:dyDescent="0.3">
      <c r="A17" s="200"/>
      <c r="B17" s="182"/>
      <c r="C17" s="8" t="s">
        <v>99</v>
      </c>
      <c r="D17" s="136">
        <v>30.464273845131274</v>
      </c>
      <c r="E17" s="136">
        <v>10.015968063872254</v>
      </c>
      <c r="F17" s="136">
        <v>6.0480742966402623</v>
      </c>
      <c r="G17" s="136">
        <v>6.1488475423493467</v>
      </c>
      <c r="H17" s="136">
        <v>0</v>
      </c>
      <c r="I17" s="136">
        <v>0</v>
      </c>
      <c r="J17" s="136">
        <v>10.837894736842104</v>
      </c>
      <c r="K17" s="136">
        <v>11.008821170809943</v>
      </c>
      <c r="L17" s="136">
        <v>0</v>
      </c>
      <c r="M17" s="136">
        <v>0</v>
      </c>
      <c r="N17" s="136">
        <v>9.6472295514511881</v>
      </c>
      <c r="O17" s="136">
        <v>9.7997855802733849</v>
      </c>
      <c r="P17" s="136">
        <v>3.7979984198051095</v>
      </c>
      <c r="Q17" s="136">
        <v>3.8610441767068271</v>
      </c>
      <c r="R17" s="96"/>
      <c r="S17" s="101">
        <f>MAX(D17:Q17)</f>
        <v>30.464273845131274</v>
      </c>
      <c r="T17" s="101">
        <f>MIN(D17:Q17)</f>
        <v>0</v>
      </c>
      <c r="U17" s="101">
        <f t="shared" si="1"/>
        <v>-3.2825335180599345E-2</v>
      </c>
      <c r="V17" s="101">
        <f t="shared" si="0"/>
        <v>1</v>
      </c>
    </row>
    <row r="18" spans="1:22" ht="13.8" thickBot="1" x14ac:dyDescent="0.3">
      <c r="A18" s="201"/>
      <c r="B18" s="182"/>
      <c r="C18" s="5" t="s">
        <v>101</v>
      </c>
      <c r="D18" s="146">
        <v>50.190428713858424</v>
      </c>
      <c r="E18" s="146">
        <v>88.42781104457751</v>
      </c>
      <c r="F18" s="146">
        <v>71.457798415733407</v>
      </c>
      <c r="G18" s="146">
        <v>70.982227159122473</v>
      </c>
      <c r="H18" s="146">
        <v>96.07501363884343</v>
      </c>
      <c r="I18" s="146">
        <v>96.007491675915645</v>
      </c>
      <c r="J18" s="146">
        <v>54.856578947368426</v>
      </c>
      <c r="K18" s="146">
        <v>54.144613739641812</v>
      </c>
      <c r="L18" s="146">
        <v>96.215469613259671</v>
      </c>
      <c r="M18" s="146">
        <v>96.128902045209898</v>
      </c>
      <c r="N18" s="146">
        <v>68.216094986807391</v>
      </c>
      <c r="O18" s="146">
        <v>67.713481640310903</v>
      </c>
      <c r="P18" s="146">
        <v>97.155649196734259</v>
      </c>
      <c r="Q18" s="146">
        <v>97.108433734939766</v>
      </c>
      <c r="R18" s="96"/>
      <c r="S18" s="101">
        <f>MIN(D18:Q18)</f>
        <v>50.190428713858424</v>
      </c>
      <c r="T18" s="101">
        <f>MAX(D18:Q18)</f>
        <v>97.155649196734259</v>
      </c>
      <c r="U18" s="101">
        <f t="shared" si="1"/>
        <v>2.1292351866305275E-2</v>
      </c>
      <c r="V18" s="101">
        <f t="shared" si="0"/>
        <v>-1.0686722684961851</v>
      </c>
    </row>
    <row r="19" spans="1:22" ht="14.25" customHeight="1" thickTop="1" thickBot="1" x14ac:dyDescent="0.3">
      <c r="A19" s="195" t="s">
        <v>12</v>
      </c>
      <c r="B19" s="54" t="s">
        <v>65</v>
      </c>
      <c r="C19" s="7" t="s">
        <v>72</v>
      </c>
      <c r="D19" s="110">
        <v>2</v>
      </c>
      <c r="E19" s="110">
        <v>2</v>
      </c>
      <c r="F19" s="110">
        <v>3</v>
      </c>
      <c r="G19" s="110">
        <v>3</v>
      </c>
      <c r="H19" s="110">
        <v>3</v>
      </c>
      <c r="I19" s="110">
        <v>3</v>
      </c>
      <c r="J19" s="110">
        <v>2</v>
      </c>
      <c r="K19" s="110">
        <v>2</v>
      </c>
      <c r="L19" s="110">
        <v>2</v>
      </c>
      <c r="M19" s="110">
        <v>2</v>
      </c>
      <c r="N19" s="110">
        <v>2</v>
      </c>
      <c r="O19" s="110">
        <v>2</v>
      </c>
      <c r="P19" s="110">
        <v>2</v>
      </c>
      <c r="Q19" s="110">
        <v>2</v>
      </c>
      <c r="R19" s="96"/>
      <c r="S19" s="101">
        <f t="shared" ref="S19:S38" si="2">MAX(D19:Q19)</f>
        <v>3</v>
      </c>
      <c r="T19" s="101">
        <f t="shared" ref="T19:T38" si="3">MIN(D19:Q19)</f>
        <v>2</v>
      </c>
      <c r="U19" s="101">
        <f t="shared" si="1"/>
        <v>-1</v>
      </c>
      <c r="V19" s="101">
        <f t="shared" si="0"/>
        <v>3</v>
      </c>
    </row>
    <row r="20" spans="1:22" x14ac:dyDescent="0.25">
      <c r="A20" s="196"/>
      <c r="B20" s="197" t="s">
        <v>14</v>
      </c>
      <c r="C20" s="3" t="s">
        <v>32</v>
      </c>
      <c r="D20" s="111">
        <f>38724.5+53261.2</f>
        <v>91985.7</v>
      </c>
      <c r="E20" s="111">
        <f>38724.5+53261.2</f>
        <v>91985.7</v>
      </c>
      <c r="F20" s="111">
        <f>29192.28+56244.72</f>
        <v>85437</v>
      </c>
      <c r="G20" s="111">
        <v>84063.78</v>
      </c>
      <c r="H20" s="111">
        <f>29192.28+56244.72</f>
        <v>85437</v>
      </c>
      <c r="I20" s="111">
        <f>29471.4+54592.38</f>
        <v>84063.78</v>
      </c>
      <c r="J20" s="111">
        <f>30976.48+54935.97</f>
        <v>85912.45</v>
      </c>
      <c r="K20" s="111">
        <f>31255.6+53283.6</f>
        <v>84539.199999999997</v>
      </c>
      <c r="L20" s="111">
        <f>30976.48+54935.97</f>
        <v>85912.45</v>
      </c>
      <c r="M20" s="111">
        <f>31255.6+53283.6</f>
        <v>84539.199999999997</v>
      </c>
      <c r="N20" s="111">
        <f>32386.16+54935.97</f>
        <v>87322.13</v>
      </c>
      <c r="O20" s="111">
        <f>32665.29+53283.6</f>
        <v>85948.89</v>
      </c>
      <c r="P20" s="111">
        <f>32386.16+54935.97</f>
        <v>87322.13</v>
      </c>
      <c r="Q20" s="111">
        <f>32665.29+53283.6</f>
        <v>85948.89</v>
      </c>
      <c r="R20" s="96"/>
      <c r="S20" s="101">
        <f t="shared" si="2"/>
        <v>91985.7</v>
      </c>
      <c r="T20" s="101">
        <f t="shared" si="3"/>
        <v>84063.78</v>
      </c>
      <c r="U20" s="101">
        <f t="shared" si="1"/>
        <v>-1.2623202455970274E-4</v>
      </c>
      <c r="V20" s="101">
        <f t="shared" si="0"/>
        <v>11.611541141541446</v>
      </c>
    </row>
    <row r="21" spans="1:22" ht="13.8" thickBot="1" x14ac:dyDescent="0.3">
      <c r="A21" s="196"/>
      <c r="B21" s="198"/>
      <c r="C21" s="5" t="s">
        <v>33</v>
      </c>
      <c r="D21" s="117">
        <f>33880+11045.65</f>
        <v>44925.65</v>
      </c>
      <c r="E21" s="117">
        <f>33880+11045.65</f>
        <v>44925.65</v>
      </c>
      <c r="F21" s="117">
        <f>39550+13591.03</f>
        <v>53141.03</v>
      </c>
      <c r="G21" s="117">
        <v>51465.55</v>
      </c>
      <c r="H21" s="117">
        <f>39550+13591.03</f>
        <v>53141.03</v>
      </c>
      <c r="I21" s="117">
        <f>38262+13203.55</f>
        <v>51465.55</v>
      </c>
      <c r="J21" s="117">
        <f>44856+14127.72</f>
        <v>58983.72</v>
      </c>
      <c r="K21" s="117">
        <f>43554+13740.24</f>
        <v>57294.239999999998</v>
      </c>
      <c r="L21" s="117">
        <f>44856+14127.72</f>
        <v>58983.72</v>
      </c>
      <c r="M21" s="117">
        <f>43554+13740.24</f>
        <v>57294.239999999998</v>
      </c>
      <c r="N21" s="117">
        <f>44590+14048.55</f>
        <v>58638.55</v>
      </c>
      <c r="O21" s="117">
        <f>43302+13661.07</f>
        <v>56963.07</v>
      </c>
      <c r="P21" s="117">
        <f>44590+14048.55</f>
        <v>58638.55</v>
      </c>
      <c r="Q21" s="117">
        <f>43302+13661.07</f>
        <v>56963.07</v>
      </c>
      <c r="R21" s="96"/>
      <c r="S21" s="101">
        <f t="shared" si="2"/>
        <v>58983.72</v>
      </c>
      <c r="T21" s="101">
        <f t="shared" si="3"/>
        <v>44925.65</v>
      </c>
      <c r="U21" s="101">
        <f t="shared" si="1"/>
        <v>-7.1133519750577427E-5</v>
      </c>
      <c r="V21" s="101">
        <f t="shared" si="0"/>
        <v>4.195719611582529</v>
      </c>
    </row>
    <row r="22" spans="1:22" x14ac:dyDescent="0.25">
      <c r="A22" s="196"/>
      <c r="B22" s="197" t="s">
        <v>15</v>
      </c>
      <c r="C22" s="3" t="s">
        <v>34</v>
      </c>
      <c r="D22" s="111">
        <v>23755.87</v>
      </c>
      <c r="E22" s="111">
        <v>23755.87</v>
      </c>
      <c r="F22" s="111">
        <v>17198.419999999998</v>
      </c>
      <c r="G22" s="111">
        <v>16745.14</v>
      </c>
      <c r="H22" s="111">
        <v>17198.419999999998</v>
      </c>
      <c r="I22" s="111">
        <v>16745.14</v>
      </c>
      <c r="J22" s="111">
        <v>17656.43</v>
      </c>
      <c r="K22" s="111">
        <v>16932.13</v>
      </c>
      <c r="L22" s="111">
        <v>17656.43</v>
      </c>
      <c r="M22" s="111">
        <v>16932.13</v>
      </c>
      <c r="N22" s="111">
        <v>18527.13</v>
      </c>
      <c r="O22" s="111">
        <v>17802.82</v>
      </c>
      <c r="P22" s="111">
        <v>18527.13</v>
      </c>
      <c r="Q22" s="111">
        <v>17802.82</v>
      </c>
      <c r="R22" s="96"/>
      <c r="S22" s="101">
        <f t="shared" si="2"/>
        <v>23755.87</v>
      </c>
      <c r="T22" s="101">
        <f t="shared" si="3"/>
        <v>16745.14</v>
      </c>
      <c r="U22" s="101">
        <f t="shared" ref="U22:U38" si="4">1/(T22-S22)</f>
        <v>-1.4263849841599947E-4</v>
      </c>
      <c r="V22" s="101">
        <f t="shared" ref="V22:V38" si="5">1-(T22/(T22-S22))</f>
        <v>3.3885016253656897</v>
      </c>
    </row>
    <row r="23" spans="1:22" x14ac:dyDescent="0.25">
      <c r="A23" s="196"/>
      <c r="B23" s="168"/>
      <c r="C23" s="4" t="s">
        <v>35</v>
      </c>
      <c r="D23" s="139">
        <v>16880.761600000002</v>
      </c>
      <c r="E23" s="139">
        <v>15439.8616</v>
      </c>
      <c r="F23" s="139">
        <v>19817.177199999998</v>
      </c>
      <c r="G23" s="139">
        <v>19669.859199999999</v>
      </c>
      <c r="H23" s="139">
        <v>18111.634399999995</v>
      </c>
      <c r="I23" s="139">
        <v>17982.72</v>
      </c>
      <c r="J23" s="139">
        <v>19836.880400000002</v>
      </c>
      <c r="K23" s="139">
        <v>19711.074800000002</v>
      </c>
      <c r="L23" s="139">
        <v>17546.924800000001</v>
      </c>
      <c r="M23" s="139">
        <v>17552.970399999998</v>
      </c>
      <c r="N23" s="139">
        <v>20689.436000000002</v>
      </c>
      <c r="O23" s="139">
        <v>20533.567999999999</v>
      </c>
      <c r="P23" s="139">
        <v>17918.876799999998</v>
      </c>
      <c r="Q23" s="139">
        <v>17751.252399999998</v>
      </c>
      <c r="R23" s="96"/>
      <c r="S23" s="101">
        <f t="shared" si="2"/>
        <v>20689.436000000002</v>
      </c>
      <c r="T23" s="101">
        <f t="shared" si="3"/>
        <v>15439.8616</v>
      </c>
      <c r="U23" s="101">
        <f t="shared" si="4"/>
        <v>-1.9049163299790546E-4</v>
      </c>
      <c r="V23" s="101">
        <f t="shared" si="5"/>
        <v>3.9411644494456533</v>
      </c>
    </row>
    <row r="24" spans="1:22" ht="13.8" thickBot="1" x14ac:dyDescent="0.3">
      <c r="A24" s="196"/>
      <c r="B24" s="198"/>
      <c r="C24" s="5" t="s">
        <v>36</v>
      </c>
      <c r="D24" s="117">
        <v>28442.7</v>
      </c>
      <c r="E24" s="117">
        <v>28442.7</v>
      </c>
      <c r="F24" s="117">
        <v>26942.76</v>
      </c>
      <c r="G24" s="117">
        <v>27079.45</v>
      </c>
      <c r="H24" s="117">
        <v>26942.76</v>
      </c>
      <c r="I24" s="117">
        <v>27079.45</v>
      </c>
      <c r="J24" s="117">
        <v>27984.62</v>
      </c>
      <c r="K24" s="117">
        <v>28121.31</v>
      </c>
      <c r="L24" s="117">
        <v>27984.62</v>
      </c>
      <c r="M24" s="117">
        <v>28121.31</v>
      </c>
      <c r="N24" s="117">
        <v>26658.02</v>
      </c>
      <c r="O24" s="117">
        <v>26769.9</v>
      </c>
      <c r="P24" s="117">
        <v>26658.02</v>
      </c>
      <c r="Q24" s="117">
        <v>26769.9</v>
      </c>
      <c r="R24" s="96"/>
      <c r="S24" s="101">
        <f t="shared" si="2"/>
        <v>28442.7</v>
      </c>
      <c r="T24" s="101">
        <f t="shared" si="3"/>
        <v>26658.02</v>
      </c>
      <c r="U24" s="101">
        <f t="shared" si="4"/>
        <v>-5.6032453997355259E-4</v>
      </c>
      <c r="V24" s="101">
        <f t="shared" si="5"/>
        <v>15.937142793105764</v>
      </c>
    </row>
    <row r="25" spans="1:22" ht="13.8" thickBot="1" x14ac:dyDescent="0.3">
      <c r="A25" s="196"/>
      <c r="B25" s="91" t="s">
        <v>16</v>
      </c>
      <c r="C25" s="3" t="s">
        <v>84</v>
      </c>
      <c r="D25" s="119">
        <v>3.4</v>
      </c>
      <c r="E25" s="119">
        <v>3.4</v>
      </c>
      <c r="F25" s="119">
        <v>0.8</v>
      </c>
      <c r="G25" s="119">
        <v>3.1</v>
      </c>
      <c r="H25" s="119">
        <v>0.8</v>
      </c>
      <c r="I25" s="119">
        <v>3.1</v>
      </c>
      <c r="J25" s="119">
        <v>4</v>
      </c>
      <c r="K25" s="119">
        <v>5.3</v>
      </c>
      <c r="L25" s="119">
        <v>4</v>
      </c>
      <c r="M25" s="119">
        <v>5.3</v>
      </c>
      <c r="N25" s="119">
        <v>0.2</v>
      </c>
      <c r="O25" s="119">
        <v>2</v>
      </c>
      <c r="P25" s="119">
        <v>0.2</v>
      </c>
      <c r="Q25" s="119">
        <v>2</v>
      </c>
      <c r="R25" s="96"/>
      <c r="S25" s="102">
        <f>MIN(D25:Q25)</f>
        <v>0.2</v>
      </c>
      <c r="T25" s="102">
        <f>MAX(D25:Q25)</f>
        <v>5.3</v>
      </c>
      <c r="U25" s="101">
        <f t="shared" si="4"/>
        <v>0.19607843137254904</v>
      </c>
      <c r="V25" s="101">
        <f t="shared" si="5"/>
        <v>-3.9215686274509887E-2</v>
      </c>
    </row>
    <row r="26" spans="1:22" ht="13.8" thickBot="1" x14ac:dyDescent="0.3">
      <c r="A26" s="196"/>
      <c r="B26" s="115" t="s">
        <v>17</v>
      </c>
      <c r="C26" s="3" t="s">
        <v>73</v>
      </c>
      <c r="D26" s="111">
        <v>0</v>
      </c>
      <c r="E26" s="111">
        <v>0</v>
      </c>
      <c r="F26" s="111">
        <v>70</v>
      </c>
      <c r="G26" s="111">
        <v>70</v>
      </c>
      <c r="H26" s="111">
        <v>70</v>
      </c>
      <c r="I26" s="111">
        <v>70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96"/>
      <c r="S26" s="101">
        <f t="shared" si="2"/>
        <v>70</v>
      </c>
      <c r="T26" s="101">
        <f t="shared" si="3"/>
        <v>0</v>
      </c>
      <c r="U26" s="101">
        <f t="shared" si="4"/>
        <v>-1.4285714285714285E-2</v>
      </c>
      <c r="V26" s="101">
        <f t="shared" si="5"/>
        <v>1</v>
      </c>
    </row>
    <row r="27" spans="1:22" ht="13.95" customHeight="1" thickTop="1" x14ac:dyDescent="0.25">
      <c r="A27" s="153" t="s">
        <v>18</v>
      </c>
      <c r="B27" s="187" t="s">
        <v>19</v>
      </c>
      <c r="C27" s="7" t="s">
        <v>75</v>
      </c>
      <c r="D27" s="105">
        <v>222</v>
      </c>
      <c r="E27" s="105">
        <v>222</v>
      </c>
      <c r="F27" s="105">
        <v>216</v>
      </c>
      <c r="G27" s="105">
        <v>202</v>
      </c>
      <c r="H27" s="105">
        <v>216</v>
      </c>
      <c r="I27" s="105">
        <v>202</v>
      </c>
      <c r="J27" s="105">
        <v>235</v>
      </c>
      <c r="K27" s="105">
        <v>221</v>
      </c>
      <c r="L27" s="105">
        <v>235</v>
      </c>
      <c r="M27" s="105">
        <v>221</v>
      </c>
      <c r="N27" s="105">
        <v>224</v>
      </c>
      <c r="O27" s="105">
        <v>210</v>
      </c>
      <c r="P27" s="105">
        <v>224</v>
      </c>
      <c r="Q27" s="105">
        <v>210</v>
      </c>
      <c r="R27" s="97"/>
      <c r="S27" s="101">
        <f t="shared" si="2"/>
        <v>235</v>
      </c>
      <c r="T27" s="101">
        <f t="shared" si="3"/>
        <v>202</v>
      </c>
      <c r="U27" s="101">
        <f t="shared" si="4"/>
        <v>-3.0303030303030304E-2</v>
      </c>
      <c r="V27" s="101">
        <f t="shared" si="5"/>
        <v>7.1212121212121211</v>
      </c>
    </row>
    <row r="28" spans="1:22" ht="13.2" customHeight="1" x14ac:dyDescent="0.25">
      <c r="A28" s="154"/>
      <c r="B28" s="188"/>
      <c r="C28" s="50" t="s">
        <v>76</v>
      </c>
      <c r="D28" s="109">
        <v>38857</v>
      </c>
      <c r="E28" s="109">
        <v>38857</v>
      </c>
      <c r="F28" s="109">
        <v>35681</v>
      </c>
      <c r="G28" s="109">
        <v>31794</v>
      </c>
      <c r="H28" s="109">
        <v>35681</v>
      </c>
      <c r="I28" s="109">
        <v>31794</v>
      </c>
      <c r="J28" s="109">
        <v>39075</v>
      </c>
      <c r="K28" s="109">
        <v>35188</v>
      </c>
      <c r="L28" s="109">
        <v>39075</v>
      </c>
      <c r="M28" s="109">
        <v>35188</v>
      </c>
      <c r="N28" s="109">
        <v>40844</v>
      </c>
      <c r="O28" s="109">
        <v>36957</v>
      </c>
      <c r="P28" s="109">
        <v>40844</v>
      </c>
      <c r="Q28" s="109">
        <v>36957</v>
      </c>
      <c r="R28" s="97"/>
      <c r="S28" s="101">
        <f t="shared" si="2"/>
        <v>40844</v>
      </c>
      <c r="T28" s="101">
        <f t="shared" si="3"/>
        <v>31794</v>
      </c>
      <c r="U28" s="101">
        <f t="shared" si="4"/>
        <v>-1.1049723756906077E-4</v>
      </c>
      <c r="V28" s="101">
        <f t="shared" si="5"/>
        <v>4.5131491712707188</v>
      </c>
    </row>
    <row r="29" spans="1:22" ht="13.2" customHeight="1" x14ac:dyDescent="0.25">
      <c r="A29" s="154"/>
      <c r="B29" s="188"/>
      <c r="C29" s="4" t="s">
        <v>77</v>
      </c>
      <c r="D29" s="118">
        <v>1263</v>
      </c>
      <c r="E29" s="118">
        <v>1263</v>
      </c>
      <c r="F29" s="118">
        <v>1254</v>
      </c>
      <c r="G29" s="118">
        <v>1192</v>
      </c>
      <c r="H29" s="118">
        <v>1254</v>
      </c>
      <c r="I29" s="118">
        <v>1192</v>
      </c>
      <c r="J29" s="118">
        <v>1341</v>
      </c>
      <c r="K29" s="118">
        <v>1279</v>
      </c>
      <c r="L29" s="118">
        <v>1341</v>
      </c>
      <c r="M29" s="118">
        <v>1279</v>
      </c>
      <c r="N29" s="118">
        <v>1381</v>
      </c>
      <c r="O29" s="118">
        <v>1319</v>
      </c>
      <c r="P29" s="118">
        <v>1381</v>
      </c>
      <c r="Q29" s="118">
        <v>1319</v>
      </c>
      <c r="R29" s="97"/>
      <c r="S29" s="101">
        <f t="shared" si="2"/>
        <v>1381</v>
      </c>
      <c r="T29" s="101">
        <f t="shared" si="3"/>
        <v>1192</v>
      </c>
      <c r="U29" s="101">
        <f t="shared" si="4"/>
        <v>-5.2910052910052907E-3</v>
      </c>
      <c r="V29" s="101">
        <f t="shared" si="5"/>
        <v>7.306878306878307</v>
      </c>
    </row>
    <row r="30" spans="1:22" ht="13.95" customHeight="1" thickBot="1" x14ac:dyDescent="0.3">
      <c r="A30" s="154"/>
      <c r="B30" s="189"/>
      <c r="C30" s="5" t="s">
        <v>22</v>
      </c>
      <c r="D30" s="106">
        <v>7</v>
      </c>
      <c r="E30" s="106">
        <v>7</v>
      </c>
      <c r="F30" s="106">
        <v>12</v>
      </c>
      <c r="G30" s="106">
        <v>11</v>
      </c>
      <c r="H30" s="106">
        <v>12</v>
      </c>
      <c r="I30" s="106">
        <v>11</v>
      </c>
      <c r="J30" s="106">
        <v>10</v>
      </c>
      <c r="K30" s="106">
        <v>9</v>
      </c>
      <c r="L30" s="106">
        <v>10</v>
      </c>
      <c r="M30" s="106">
        <v>9</v>
      </c>
      <c r="N30" s="106">
        <v>10</v>
      </c>
      <c r="O30" s="106">
        <v>9</v>
      </c>
      <c r="P30" s="106">
        <v>10</v>
      </c>
      <c r="Q30" s="106">
        <v>9</v>
      </c>
      <c r="R30" s="97"/>
      <c r="S30" s="101">
        <f t="shared" si="2"/>
        <v>12</v>
      </c>
      <c r="T30" s="101">
        <f t="shared" si="3"/>
        <v>7</v>
      </c>
      <c r="U30" s="101">
        <f t="shared" si="4"/>
        <v>-0.2</v>
      </c>
      <c r="V30" s="101">
        <f t="shared" si="5"/>
        <v>2.4</v>
      </c>
    </row>
    <row r="31" spans="1:22" ht="13.2" customHeight="1" x14ac:dyDescent="0.25">
      <c r="A31" s="154"/>
      <c r="B31" s="204" t="s">
        <v>20</v>
      </c>
      <c r="C31" s="3" t="s">
        <v>63</v>
      </c>
      <c r="D31" s="107">
        <v>269</v>
      </c>
      <c r="E31" s="107">
        <v>269</v>
      </c>
      <c r="F31" s="107">
        <v>481</v>
      </c>
      <c r="G31" s="107">
        <v>467</v>
      </c>
      <c r="H31" s="107">
        <v>481</v>
      </c>
      <c r="I31" s="107">
        <v>467</v>
      </c>
      <c r="J31" s="107">
        <v>427</v>
      </c>
      <c r="K31" s="107">
        <v>413</v>
      </c>
      <c r="L31" s="107">
        <v>427</v>
      </c>
      <c r="M31" s="108">
        <v>413</v>
      </c>
      <c r="N31" s="108">
        <v>442</v>
      </c>
      <c r="O31" s="108">
        <v>418</v>
      </c>
      <c r="P31" s="108">
        <v>442</v>
      </c>
      <c r="Q31" s="108">
        <v>418</v>
      </c>
      <c r="R31" s="98"/>
      <c r="S31" s="101">
        <f t="shared" si="2"/>
        <v>481</v>
      </c>
      <c r="T31" s="101">
        <f t="shared" si="3"/>
        <v>269</v>
      </c>
      <c r="U31" s="101">
        <f t="shared" si="4"/>
        <v>-4.7169811320754715E-3</v>
      </c>
      <c r="V31" s="101">
        <f t="shared" si="5"/>
        <v>2.2688679245283021</v>
      </c>
    </row>
    <row r="32" spans="1:22" ht="13.2" customHeight="1" x14ac:dyDescent="0.25">
      <c r="A32" s="154"/>
      <c r="B32" s="205"/>
      <c r="C32" s="4" t="s">
        <v>21</v>
      </c>
      <c r="D32" s="109">
        <v>403</v>
      </c>
      <c r="E32" s="109">
        <v>403</v>
      </c>
      <c r="F32" s="109">
        <v>967</v>
      </c>
      <c r="G32" s="109">
        <v>923</v>
      </c>
      <c r="H32" s="109">
        <v>967</v>
      </c>
      <c r="I32" s="109">
        <v>923</v>
      </c>
      <c r="J32" s="109">
        <v>932</v>
      </c>
      <c r="K32" s="109">
        <v>888</v>
      </c>
      <c r="L32" s="109">
        <v>932</v>
      </c>
      <c r="M32" s="109">
        <v>888</v>
      </c>
      <c r="N32" s="109">
        <v>817</v>
      </c>
      <c r="O32" s="109">
        <v>773</v>
      </c>
      <c r="P32" s="109">
        <v>817</v>
      </c>
      <c r="Q32" s="109">
        <v>773</v>
      </c>
      <c r="R32" s="97"/>
      <c r="S32" s="101">
        <f t="shared" si="2"/>
        <v>967</v>
      </c>
      <c r="T32" s="101">
        <f t="shared" si="3"/>
        <v>403</v>
      </c>
      <c r="U32" s="101">
        <f t="shared" si="4"/>
        <v>-1.7730496453900709E-3</v>
      </c>
      <c r="V32" s="101">
        <f t="shared" si="5"/>
        <v>1.7145390070921986</v>
      </c>
    </row>
    <row r="33" spans="1:22" ht="13.2" customHeight="1" x14ac:dyDescent="0.25">
      <c r="A33" s="154"/>
      <c r="B33" s="205"/>
      <c r="C33" s="4" t="s">
        <v>23</v>
      </c>
      <c r="D33" s="109">
        <v>41</v>
      </c>
      <c r="E33" s="109">
        <v>41</v>
      </c>
      <c r="F33" s="109">
        <v>60</v>
      </c>
      <c r="G33" s="109">
        <v>51</v>
      </c>
      <c r="H33" s="109">
        <v>60</v>
      </c>
      <c r="I33" s="109">
        <v>51</v>
      </c>
      <c r="J33" s="109">
        <v>67</v>
      </c>
      <c r="K33" s="109">
        <v>58</v>
      </c>
      <c r="L33" s="109">
        <v>67</v>
      </c>
      <c r="M33" s="109">
        <v>58</v>
      </c>
      <c r="N33" s="109">
        <v>85</v>
      </c>
      <c r="O33" s="109">
        <v>76</v>
      </c>
      <c r="P33" s="109">
        <v>85</v>
      </c>
      <c r="Q33" s="109">
        <v>76</v>
      </c>
      <c r="R33" s="97"/>
      <c r="S33" s="101">
        <f t="shared" si="2"/>
        <v>85</v>
      </c>
      <c r="T33" s="101">
        <f t="shared" si="3"/>
        <v>41</v>
      </c>
      <c r="U33" s="101">
        <f t="shared" si="4"/>
        <v>-2.2727272727272728E-2</v>
      </c>
      <c r="V33" s="101">
        <f t="shared" si="5"/>
        <v>1.9318181818181817</v>
      </c>
    </row>
    <row r="34" spans="1:22" ht="13.2" customHeight="1" x14ac:dyDescent="0.25">
      <c r="A34" s="154"/>
      <c r="B34" s="205"/>
      <c r="C34" s="4" t="s">
        <v>24</v>
      </c>
      <c r="D34" s="109">
        <v>14</v>
      </c>
      <c r="E34" s="109">
        <v>14</v>
      </c>
      <c r="F34" s="109">
        <v>19</v>
      </c>
      <c r="G34" s="109">
        <v>19</v>
      </c>
      <c r="H34" s="109">
        <v>19</v>
      </c>
      <c r="I34" s="109">
        <v>19</v>
      </c>
      <c r="J34" s="109">
        <v>31</v>
      </c>
      <c r="K34" s="109">
        <v>31</v>
      </c>
      <c r="L34" s="109">
        <v>31</v>
      </c>
      <c r="M34" s="109">
        <v>31</v>
      </c>
      <c r="N34" s="109">
        <v>18</v>
      </c>
      <c r="O34" s="109">
        <v>18</v>
      </c>
      <c r="P34" s="109">
        <v>18</v>
      </c>
      <c r="Q34" s="109">
        <v>18</v>
      </c>
      <c r="R34" s="97"/>
      <c r="S34" s="101">
        <f t="shared" si="2"/>
        <v>31</v>
      </c>
      <c r="T34" s="101">
        <f t="shared" si="3"/>
        <v>14</v>
      </c>
      <c r="U34" s="101">
        <f t="shared" si="4"/>
        <v>-5.8823529411764705E-2</v>
      </c>
      <c r="V34" s="101">
        <f t="shared" si="5"/>
        <v>1.8235294117647058</v>
      </c>
    </row>
    <row r="35" spans="1:22" ht="13.95" customHeight="1" thickBot="1" x14ac:dyDescent="0.3">
      <c r="A35" s="154"/>
      <c r="B35" s="206"/>
      <c r="C35" s="8" t="s">
        <v>78</v>
      </c>
      <c r="D35" s="109">
        <v>150</v>
      </c>
      <c r="E35" s="109">
        <v>150</v>
      </c>
      <c r="F35" s="109">
        <v>140</v>
      </c>
      <c r="G35" s="109">
        <v>138</v>
      </c>
      <c r="H35" s="109">
        <v>140</v>
      </c>
      <c r="I35" s="109">
        <v>138</v>
      </c>
      <c r="J35" s="109">
        <v>167</v>
      </c>
      <c r="K35" s="109">
        <v>165</v>
      </c>
      <c r="L35" s="109">
        <v>167</v>
      </c>
      <c r="M35" s="109">
        <v>165</v>
      </c>
      <c r="N35" s="109">
        <v>171</v>
      </c>
      <c r="O35" s="109">
        <v>169</v>
      </c>
      <c r="P35" s="109">
        <v>171</v>
      </c>
      <c r="Q35" s="109">
        <v>169</v>
      </c>
      <c r="R35" s="97"/>
      <c r="S35" s="101">
        <f t="shared" si="2"/>
        <v>171</v>
      </c>
      <c r="T35" s="101">
        <f t="shared" si="3"/>
        <v>138</v>
      </c>
      <c r="U35" s="101">
        <f t="shared" si="4"/>
        <v>-3.0303030303030304E-2</v>
      </c>
      <c r="V35" s="101">
        <f t="shared" si="5"/>
        <v>5.1818181818181817</v>
      </c>
    </row>
    <row r="36" spans="1:22" ht="13.8" thickBot="1" x14ac:dyDescent="0.3">
      <c r="A36" s="155"/>
      <c r="B36" s="125" t="s">
        <v>97</v>
      </c>
      <c r="C36" s="129" t="s">
        <v>98</v>
      </c>
      <c r="D36" s="128">
        <v>70</v>
      </c>
      <c r="E36" s="127">
        <v>70</v>
      </c>
      <c r="F36" s="127">
        <f>20.84+675+9.45</f>
        <v>705.29000000000008</v>
      </c>
      <c r="G36" s="127">
        <f>20.84+675+9.45</f>
        <v>705.29000000000008</v>
      </c>
      <c r="H36" s="127">
        <f>375+9.45</f>
        <v>384.45</v>
      </c>
      <c r="I36" s="127">
        <f>375+9.45</f>
        <v>384.45</v>
      </c>
      <c r="J36" s="127">
        <f>121.84+9.45</f>
        <v>131.29</v>
      </c>
      <c r="K36" s="127">
        <f>121.84+9.45</f>
        <v>131.29</v>
      </c>
      <c r="L36" s="127">
        <f>90+9.45</f>
        <v>99.45</v>
      </c>
      <c r="M36" s="127">
        <f>90+9.45</f>
        <v>99.45</v>
      </c>
      <c r="N36" s="127">
        <f>8.05+60.31+9.45</f>
        <v>77.81</v>
      </c>
      <c r="O36" s="127">
        <f>8.05+60.31+9.45</f>
        <v>77.81</v>
      </c>
      <c r="P36" s="127">
        <f>36.82+9.45</f>
        <v>46.269999999999996</v>
      </c>
      <c r="Q36" s="127">
        <f>36.82+9.45</f>
        <v>46.269999999999996</v>
      </c>
      <c r="R36" s="97"/>
      <c r="S36" s="101">
        <f t="shared" si="2"/>
        <v>705.29000000000008</v>
      </c>
      <c r="T36" s="101">
        <f t="shared" si="3"/>
        <v>46.269999999999996</v>
      </c>
      <c r="U36" s="101">
        <f t="shared" si="4"/>
        <v>-1.517404631118934E-3</v>
      </c>
      <c r="V36" s="101">
        <f t="shared" si="5"/>
        <v>1.0702103122818731</v>
      </c>
    </row>
    <row r="37" spans="1:22" ht="13.8" thickTop="1" x14ac:dyDescent="0.25">
      <c r="A37" s="151" t="s">
        <v>62</v>
      </c>
      <c r="B37" s="192"/>
      <c r="C37" s="121" t="s">
        <v>83</v>
      </c>
      <c r="D37" s="110">
        <v>51596771.833042003</v>
      </c>
      <c r="E37" s="110">
        <v>49841504.209162995</v>
      </c>
      <c r="F37" s="110">
        <v>58566053.324514002</v>
      </c>
      <c r="G37" s="110">
        <v>56994535.866766006</v>
      </c>
      <c r="H37" s="110">
        <v>56203898.698265992</v>
      </c>
      <c r="I37" s="110">
        <v>54669601.629985005</v>
      </c>
      <c r="J37" s="110">
        <v>59076434.675051011</v>
      </c>
      <c r="K37" s="110">
        <v>57499889.822991006</v>
      </c>
      <c r="L37" s="110">
        <v>56985786.776187003</v>
      </c>
      <c r="M37" s="110">
        <v>55375516.500617005</v>
      </c>
      <c r="N37" s="110">
        <v>59264431.701396994</v>
      </c>
      <c r="O37" s="110">
        <v>57624555.912649989</v>
      </c>
      <c r="P37" s="110">
        <v>57163276.445785999</v>
      </c>
      <c r="Q37" s="110">
        <v>55657498.637839004</v>
      </c>
      <c r="R37" s="96"/>
      <c r="S37" s="101">
        <f t="shared" si="2"/>
        <v>59264431.701396994</v>
      </c>
      <c r="T37" s="101">
        <f t="shared" si="3"/>
        <v>49841504.209162995</v>
      </c>
      <c r="U37" s="101">
        <f t="shared" si="4"/>
        <v>-1.0612413189257373E-7</v>
      </c>
      <c r="V37" s="101">
        <f t="shared" si="5"/>
        <v>6.2893863664174825</v>
      </c>
    </row>
    <row r="38" spans="1:22" ht="13.8" thickBot="1" x14ac:dyDescent="0.3">
      <c r="A38" s="193"/>
      <c r="B38" s="194"/>
      <c r="C38" s="6" t="s">
        <v>96</v>
      </c>
      <c r="D38" s="137">
        <v>2835163.0079999999</v>
      </c>
      <c r="E38" s="137">
        <v>2835163.0079999999</v>
      </c>
      <c r="F38" s="137">
        <v>3444449.5360000003</v>
      </c>
      <c r="G38" s="137">
        <v>3392575.2960000001</v>
      </c>
      <c r="H38" s="137">
        <v>3446335.872</v>
      </c>
      <c r="I38" s="137">
        <v>3395404.8000000003</v>
      </c>
      <c r="J38" s="137">
        <v>3573663.5520000001</v>
      </c>
      <c r="K38" s="137">
        <v>3530277.824</v>
      </c>
      <c r="L38" s="137">
        <v>3577436.2239999999</v>
      </c>
      <c r="M38" s="137">
        <v>3526505.1519999998</v>
      </c>
      <c r="N38" s="137">
        <v>3569890.88</v>
      </c>
      <c r="O38" s="137">
        <v>3518016.64</v>
      </c>
      <c r="P38" s="137">
        <v>3572720.3839999996</v>
      </c>
      <c r="Q38" s="137">
        <v>3521789.3119999999</v>
      </c>
      <c r="R38" s="96"/>
      <c r="S38" s="101">
        <f t="shared" si="2"/>
        <v>3577436.2239999999</v>
      </c>
      <c r="T38" s="101">
        <f t="shared" si="3"/>
        <v>2835163.0079999999</v>
      </c>
      <c r="U38" s="101">
        <f t="shared" si="4"/>
        <v>-1.3472128300531324E-6</v>
      </c>
      <c r="V38" s="101">
        <f t="shared" si="5"/>
        <v>4.8195679796696318</v>
      </c>
    </row>
    <row r="39" spans="1:22" ht="13.8" thickTop="1" x14ac:dyDescent="0.25"/>
    <row r="40" spans="1:22" x14ac:dyDescent="0.25">
      <c r="H40" s="144" t="s">
        <v>61</v>
      </c>
    </row>
    <row r="41" spans="1:22" x14ac:dyDescent="0.25">
      <c r="O41" t="s">
        <v>87</v>
      </c>
    </row>
    <row r="43" spans="1:22" x14ac:dyDescent="0.25"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</row>
  </sheetData>
  <mergeCells count="21">
    <mergeCell ref="A37:B38"/>
    <mergeCell ref="A9:A14"/>
    <mergeCell ref="B9:B10"/>
    <mergeCell ref="B11:B14"/>
    <mergeCell ref="B31:B35"/>
    <mergeCell ref="B27:B30"/>
    <mergeCell ref="B15:B18"/>
    <mergeCell ref="B22:B24"/>
    <mergeCell ref="B20:B21"/>
    <mergeCell ref="A19:A26"/>
    <mergeCell ref="A15:A18"/>
    <mergeCell ref="A27:A36"/>
    <mergeCell ref="A6:B8"/>
    <mergeCell ref="U1:V1"/>
    <mergeCell ref="D1:Q1"/>
    <mergeCell ref="A3:A5"/>
    <mergeCell ref="B3:B4"/>
    <mergeCell ref="S1:T1"/>
    <mergeCell ref="A1:A2"/>
    <mergeCell ref="B1:B2"/>
    <mergeCell ref="C1:C2"/>
  </mergeCells>
  <phoneticPr fontId="2" type="noConversion"/>
  <pageMargins left="0.75" right="0.75" top="1" bottom="1" header="0" footer="0"/>
  <pageSetup paperSize="8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BO42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9" sqref="E39:E40"/>
    </sheetView>
  </sheetViews>
  <sheetFormatPr baseColWidth="10" defaultRowHeight="13.2" x14ac:dyDescent="0.25"/>
  <cols>
    <col min="1" max="1" width="15.44140625" customWidth="1"/>
    <col min="2" max="2" width="22.44140625" customWidth="1"/>
    <col min="3" max="3" width="47.44140625" bestFit="1" customWidth="1"/>
    <col min="4" max="4" width="13" style="24" bestFit="1" customWidth="1"/>
    <col min="5" max="18" width="10.33203125" customWidth="1"/>
    <col min="19" max="56" width="11.44140625" style="10" customWidth="1"/>
  </cols>
  <sheetData>
    <row r="1" spans="1:67" ht="16.8" thickTop="1" thickBot="1" x14ac:dyDescent="0.3">
      <c r="A1" s="203" t="s">
        <v>25</v>
      </c>
      <c r="B1" s="164" t="s">
        <v>26</v>
      </c>
      <c r="C1" s="208" t="s">
        <v>54</v>
      </c>
      <c r="D1" s="209"/>
      <c r="E1" s="156" t="s">
        <v>47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67" ht="16.8" thickTop="1" thickBot="1" x14ac:dyDescent="0.35">
      <c r="A2" s="203"/>
      <c r="B2" s="207"/>
      <c r="C2" s="18" t="s">
        <v>45</v>
      </c>
      <c r="D2" s="17" t="s">
        <v>71</v>
      </c>
      <c r="E2" s="2" t="s">
        <v>88</v>
      </c>
      <c r="F2" s="2" t="s">
        <v>27</v>
      </c>
      <c r="G2" s="2" t="s">
        <v>89</v>
      </c>
      <c r="H2" s="2" t="s">
        <v>28</v>
      </c>
      <c r="I2" s="2" t="s">
        <v>29</v>
      </c>
      <c r="J2" s="2" t="s">
        <v>41</v>
      </c>
      <c r="K2" s="2" t="s">
        <v>90</v>
      </c>
      <c r="L2" s="2" t="s">
        <v>30</v>
      </c>
      <c r="M2" s="2" t="s">
        <v>31</v>
      </c>
      <c r="N2" s="2" t="s">
        <v>40</v>
      </c>
      <c r="O2" s="2" t="s">
        <v>91</v>
      </c>
      <c r="P2" s="2" t="s">
        <v>39</v>
      </c>
      <c r="Q2" s="2" t="s">
        <v>92</v>
      </c>
      <c r="R2" s="2" t="s">
        <v>93</v>
      </c>
    </row>
    <row r="3" spans="1:67" ht="13.8" thickTop="1" x14ac:dyDescent="0.25">
      <c r="A3" s="151" t="s">
        <v>0</v>
      </c>
      <c r="B3" s="167" t="s">
        <v>82</v>
      </c>
      <c r="C3" s="7" t="s">
        <v>80</v>
      </c>
      <c r="D3" s="19">
        <f>'Indicadores y valoración'!E4</f>
        <v>5</v>
      </c>
      <c r="E3" s="52">
        <f>'Medición de indicadores'!D3*'Medición de indicadores'!$U3+'Medición de indicadores'!$V3</f>
        <v>1</v>
      </c>
      <c r="F3" s="52">
        <f>'Medición de indicadores'!E3*'Medición de indicadores'!$U3+'Medición de indicadores'!$V3</f>
        <v>0.55555555555555536</v>
      </c>
      <c r="G3" s="52">
        <f>'Medición de indicadores'!F3*'Medición de indicadores'!$U3+'Medición de indicadores'!$V3</f>
        <v>0.77777777777777768</v>
      </c>
      <c r="H3" s="52">
        <f>'Medición de indicadores'!G3*'Medición de indicadores'!$U3+'Medición de indicadores'!$V3</f>
        <v>0.55555555555555536</v>
      </c>
      <c r="I3" s="52">
        <f>'Medición de indicadores'!H3*'Medición de indicadores'!$U3+'Medición de indicadores'!$V3</f>
        <v>0.38888888888888884</v>
      </c>
      <c r="J3" s="52">
        <f>'Medición de indicadores'!I3*'Medición de indicadores'!$U3+'Medición de indicadores'!$V3</f>
        <v>0.27777777777777768</v>
      </c>
      <c r="K3" s="52">
        <f>'Medición de indicadores'!J3*'Medición de indicadores'!$U3+'Medición de indicadores'!$V3</f>
        <v>0.38888888888888884</v>
      </c>
      <c r="L3" s="52">
        <f>'Medición de indicadores'!K3*'Medición de indicadores'!$U3+'Medición de indicadores'!$V3</f>
        <v>0.22222222222222232</v>
      </c>
      <c r="M3" s="52">
        <f>'Medición de indicadores'!L3*'Medición de indicadores'!$U3+'Medición de indicadores'!$V3</f>
        <v>0.55555555555555536</v>
      </c>
      <c r="N3" s="52">
        <f>'Medición de indicadores'!M3*'Medición de indicadores'!$U3+'Medición de indicadores'!$V3</f>
        <v>0.27777777777777768</v>
      </c>
      <c r="O3" s="52">
        <f>'Medición de indicadores'!N3*'Medición de indicadores'!$U3+'Medición de indicadores'!$V3</f>
        <v>0.4444444444444442</v>
      </c>
      <c r="P3" s="52">
        <f>'Medición de indicadores'!O3*'Medición de indicadores'!$U3+'Medición de indicadores'!$V3</f>
        <v>0.16666666666666652</v>
      </c>
      <c r="Q3" s="52">
        <f>'Medición de indicadores'!P3*'Medición de indicadores'!$U3+'Medición de indicadores'!$V3</f>
        <v>0</v>
      </c>
      <c r="R3" s="52">
        <f>'Medición de indicadores'!Q3*'Medición de indicadores'!$U3+'Medición de indicadores'!$V3</f>
        <v>0.16666666666666652</v>
      </c>
    </row>
    <row r="4" spans="1:67" ht="13.8" thickBot="1" x14ac:dyDescent="0.3">
      <c r="A4" s="152"/>
      <c r="B4" s="168"/>
      <c r="C4" s="4" t="s">
        <v>81</v>
      </c>
      <c r="D4" s="20">
        <f>'Indicadores y valoración'!E5</f>
        <v>5</v>
      </c>
      <c r="E4" s="52">
        <f>'Medición de indicadores'!D4*'Medición de indicadores'!$U4+'Medición de indicadores'!$V4</f>
        <v>1</v>
      </c>
      <c r="F4" s="52">
        <f>'Medición de indicadores'!E4*'Medición de indicadores'!$U4+'Medición de indicadores'!$V4</f>
        <v>2.2468512070959124E-2</v>
      </c>
      <c r="G4" s="52">
        <f>'Medición de indicadores'!F4*'Medición de indicadores'!$U4+'Medición de indicadores'!$V4</f>
        <v>1</v>
      </c>
      <c r="H4" s="52">
        <f>'Medición de indicadores'!G4*'Medición de indicadores'!$U4+'Medición de indicadores'!$V4</f>
        <v>1</v>
      </c>
      <c r="I4" s="52">
        <f>'Medición de indicadores'!H4*'Medición de indicadores'!$U4+'Medición de indicadores'!$V4</f>
        <v>3.2792514614711221E-3</v>
      </c>
      <c r="J4" s="52">
        <f>'Medición de indicadores'!I4*'Medición de indicadores'!$U4+'Medición de indicadores'!$V4</f>
        <v>4.6359462898649673E-3</v>
      </c>
      <c r="K4" s="52">
        <f>'Medición de indicadores'!J4*'Medición de indicadores'!$U4+'Medición de indicadores'!$V4</f>
        <v>1</v>
      </c>
      <c r="L4" s="52">
        <f>'Medición de indicadores'!K4*'Medición de indicadores'!$U4+'Medición de indicadores'!$V4</f>
        <v>1</v>
      </c>
      <c r="M4" s="52">
        <f>'Medición de indicadores'!L4*'Medición de indicadores'!$U4+'Medición de indicadores'!$V4</f>
        <v>0</v>
      </c>
      <c r="N4" s="52">
        <f>'Medición de indicadores'!M4*'Medición de indicadores'!$U4+'Medición de indicadores'!$V4</f>
        <v>1.2585881365431151E-3</v>
      </c>
      <c r="O4" s="52">
        <f>'Medición de indicadores'!N4*'Medición de indicadores'!$U4+'Medición de indicadores'!$V4</f>
        <v>1</v>
      </c>
      <c r="P4" s="52">
        <f>'Medición de indicadores'!O4*'Medición de indicadores'!$U4+'Medición de indicadores'!$V4</f>
        <v>1</v>
      </c>
      <c r="Q4" s="52">
        <f>'Medición de indicadores'!P4*'Medición de indicadores'!$U4+'Medición de indicadores'!$V4</f>
        <v>8.3840547790647868E-5</v>
      </c>
      <c r="R4" s="52">
        <f>'Medición de indicadores'!Q4*'Medición de indicadores'!$U4+'Medición de indicadores'!$V4</f>
        <v>1.3443322510295896E-3</v>
      </c>
    </row>
    <row r="5" spans="1:67" ht="13.8" thickBot="1" x14ac:dyDescent="0.3">
      <c r="A5" s="152"/>
      <c r="B5" s="147" t="s">
        <v>44</v>
      </c>
      <c r="C5" s="3" t="s">
        <v>86</v>
      </c>
      <c r="D5" s="22">
        <f>'Indicadores y valoración'!E6</f>
        <v>10</v>
      </c>
      <c r="E5" s="150">
        <f>'Medición de indicadores'!D5*'Medición de indicadores'!$U5+'Medición de indicadores'!$V5</f>
        <v>1</v>
      </c>
      <c r="F5" s="150">
        <f>'Medición de indicadores'!E5*'Medición de indicadores'!$U5+'Medición de indicadores'!$V5</f>
        <v>0.95412844036697275</v>
      </c>
      <c r="G5" s="150">
        <f>'Medición de indicadores'!F5*'Medición de indicadores'!$U5+'Medición de indicadores'!$V5</f>
        <v>0.403669724770642</v>
      </c>
      <c r="H5" s="150">
        <f>'Medición de indicadores'!G5*'Medición de indicadores'!$U5+'Medición de indicadores'!$V5</f>
        <v>0.3853211009174311</v>
      </c>
      <c r="I5" s="150">
        <f>'Medición de indicadores'!H5*'Medición de indicadores'!$U5+'Medición de indicadores'!$V5</f>
        <v>0.34862385321100886</v>
      </c>
      <c r="J5" s="150">
        <f>'Medición de indicadores'!I5*'Medición de indicadores'!$U5+'Medición de indicadores'!$V5</f>
        <v>0.35963302752293558</v>
      </c>
      <c r="K5" s="150">
        <f>'Medición de indicadores'!J5*'Medición de indicadores'!$U5+'Medición de indicadores'!$V5</f>
        <v>0.36697247706421976</v>
      </c>
      <c r="L5" s="150">
        <f>'Medición de indicadores'!K5*'Medición de indicadores'!$U5+'Medición de indicadores'!$V5</f>
        <v>0.37614678899082543</v>
      </c>
      <c r="M5" s="150">
        <f>'Medición de indicadores'!L5*'Medición de indicadores'!$U5+'Medición de indicadores'!$V5</f>
        <v>0.35779816513761453</v>
      </c>
      <c r="N5" s="150">
        <f>'Medición de indicadores'!M5*'Medición de indicadores'!$U5+'Medición de indicadores'!$V5</f>
        <v>0.33394495412844005</v>
      </c>
      <c r="O5" s="150">
        <f>'Medición de indicadores'!N5*'Medición de indicadores'!$U5+'Medición de indicadores'!$V5</f>
        <v>0.23302752293577944</v>
      </c>
      <c r="P5" s="150">
        <f>'Medición de indicadores'!O5*'Medición de indicadores'!$U5+'Medición de indicadores'!$V5</f>
        <v>0.17431192660550421</v>
      </c>
      <c r="Q5" s="150">
        <f>'Medición de indicadores'!P5*'Medición de indicadores'!$U5+'Medición de indicadores'!$V5</f>
        <v>0</v>
      </c>
      <c r="R5" s="150">
        <f>'Medición de indicadores'!Q5*'Medición de indicadores'!$U5+'Medición de indicadores'!$V5</f>
        <v>0.14311926605504555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2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9" t="s">
        <v>42</v>
      </c>
      <c r="BF5" s="9" t="s">
        <v>42</v>
      </c>
      <c r="BG5" s="9" t="s">
        <v>42</v>
      </c>
      <c r="BH5" s="9" t="s">
        <v>42</v>
      </c>
      <c r="BI5" s="9" t="s">
        <v>42</v>
      </c>
      <c r="BJ5" s="9" t="s">
        <v>42</v>
      </c>
      <c r="BK5" s="9" t="s">
        <v>42</v>
      </c>
      <c r="BL5" s="9" t="s">
        <v>42</v>
      </c>
      <c r="BM5" s="9" t="s">
        <v>42</v>
      </c>
      <c r="BN5" s="9" t="s">
        <v>42</v>
      </c>
      <c r="BO5" s="9" t="s">
        <v>42</v>
      </c>
    </row>
    <row r="6" spans="1:67" ht="14.25" customHeight="1" thickTop="1" x14ac:dyDescent="0.25">
      <c r="A6" s="151" t="s">
        <v>1</v>
      </c>
      <c r="B6" s="176"/>
      <c r="C6" s="7" t="s">
        <v>2</v>
      </c>
      <c r="D6" s="19">
        <f>'Indicadores y valoración'!E7</f>
        <v>2</v>
      </c>
      <c r="E6" s="49">
        <f>'Medición de indicadores'!D6*'Medición de indicadores'!$U6+'Medición de indicadores'!$V6</f>
        <v>0</v>
      </c>
      <c r="F6" s="49">
        <f>'Medición de indicadores'!E6*'Medición de indicadores'!$U6+'Medición de indicadores'!$V6</f>
        <v>0</v>
      </c>
      <c r="G6" s="49">
        <f>'Medición de indicadores'!F6*'Medición de indicadores'!$U6+'Medición de indicadores'!$V6</f>
        <v>0.91646020247131954</v>
      </c>
      <c r="H6" s="49">
        <f>'Medición de indicadores'!G6*'Medición de indicadores'!$U6+'Medición de indicadores'!$V6</f>
        <v>0.99999999999999911</v>
      </c>
      <c r="I6" s="49">
        <f>'Medición de indicadores'!H6*'Medición de indicadores'!$U6+'Medición de indicadores'!$V6</f>
        <v>0.91646020247131954</v>
      </c>
      <c r="J6" s="49">
        <f>'Medición de indicadores'!I6*'Medición de indicadores'!$U6+'Medición de indicadores'!$V6</f>
        <v>0.99999999999999911</v>
      </c>
      <c r="K6" s="49">
        <f>'Medición de indicadores'!J6*'Medición de indicadores'!$U6+'Medición de indicadores'!$V6</f>
        <v>0.91646020247131954</v>
      </c>
      <c r="L6" s="49">
        <f>'Medición de indicadores'!K6*'Medición de indicadores'!$U6+'Medición de indicadores'!$V6</f>
        <v>0.99999999999999911</v>
      </c>
      <c r="M6" s="49">
        <f>'Medición de indicadores'!L6*'Medición de indicadores'!$U6+'Medición de indicadores'!$V6</f>
        <v>0.91646020247131954</v>
      </c>
      <c r="N6" s="49">
        <f>'Medición de indicadores'!M6*'Medición de indicadores'!$U6+'Medición de indicadores'!$V6</f>
        <v>0.99999999999999911</v>
      </c>
      <c r="O6" s="49">
        <f>'Medición de indicadores'!N6*'Medición de indicadores'!$U6+'Medición de indicadores'!$V6</f>
        <v>0.91646020247131954</v>
      </c>
      <c r="P6" s="49">
        <f>'Medición de indicadores'!O6*'Medición de indicadores'!$U6+'Medición de indicadores'!$V6</f>
        <v>0.99999999999999911</v>
      </c>
      <c r="Q6" s="49">
        <f>'Medición de indicadores'!P6*'Medición de indicadores'!$U6+'Medición de indicadores'!$V6</f>
        <v>0.91646020247131954</v>
      </c>
      <c r="R6" s="49">
        <f>'Medición de indicadores'!Q6*'Medición de indicadores'!$U6+'Medición de indicadores'!$V6</f>
        <v>0.99999999999999911</v>
      </c>
    </row>
    <row r="7" spans="1:67" x14ac:dyDescent="0.25">
      <c r="A7" s="177"/>
      <c r="B7" s="178"/>
      <c r="C7" s="4" t="s">
        <v>94</v>
      </c>
      <c r="D7" s="20">
        <f>'Indicadores y valoración'!E8</f>
        <v>6</v>
      </c>
      <c r="E7" s="27">
        <f>'Medición de indicadores'!D7*'Medición de indicadores'!$U7+'Medición de indicadores'!$V7</f>
        <v>0.99999999999998934</v>
      </c>
      <c r="F7" s="27">
        <f>'Medición de indicadores'!E7*'Medición de indicadores'!$U7+'Medición de indicadores'!$V7</f>
        <v>1</v>
      </c>
      <c r="G7" s="27">
        <f>'Medición de indicadores'!F7*'Medición de indicadores'!$U7+'Medición de indicadores'!$V7</f>
        <v>0.34316938494242066</v>
      </c>
      <c r="H7" s="27">
        <f>'Medición de indicadores'!G7*'Medición de indicadores'!$U7+'Medición de indicadores'!$V7</f>
        <v>0.58057665098483291</v>
      </c>
      <c r="I7" s="27">
        <f>'Medición de indicadores'!H7*'Medición de indicadores'!$U7+'Medición de indicadores'!$V7</f>
        <v>0.33564353167866301</v>
      </c>
      <c r="J7" s="27">
        <f>'Medición de indicadores'!I7*'Medición de indicadores'!$U7+'Medición de indicadores'!$V7</f>
        <v>0.57274007053374909</v>
      </c>
      <c r="K7" s="27">
        <f>'Medición de indicadores'!J7*'Medición de indicadores'!$U7+'Medición de indicadores'!$V7</f>
        <v>9.3146686622489483E-3</v>
      </c>
      <c r="L7" s="27">
        <f>'Medición de indicadores'!K7*'Medición de indicadores'!$U7+'Medición de indicadores'!$V7</f>
        <v>0.2137669007764913</v>
      </c>
      <c r="M7" s="27">
        <f>'Medición de indicadores'!L7*'Medición de indicadores'!$U7+'Medición de indicadores'!$V7</f>
        <v>0</v>
      </c>
      <c r="N7" s="27">
        <f>'Medición de indicadores'!M7*'Medición de indicadores'!$U7+'Medición de indicadores'!$V7</f>
        <v>0.22343481924783859</v>
      </c>
      <c r="O7" s="27">
        <f>'Medición de indicadores'!N7*'Medición de indicadores'!$U7+'Medición de indicadores'!$V7</f>
        <v>1.8649024867245956E-2</v>
      </c>
      <c r="P7" s="27">
        <f>'Medición de indicadores'!O7*'Medición de indicadores'!$U7+'Medición de indicadores'!$V7</f>
        <v>0.24526344991434534</v>
      </c>
      <c r="Q7" s="27">
        <f>'Medición de indicadores'!P7*'Medición de indicadores'!$U7+'Medición de indicadores'!$V7</f>
        <v>1.1646409570110094E-2</v>
      </c>
      <c r="R7" s="27">
        <f>'Medición de indicadores'!Q7*'Medición de indicadores'!$U7+'Medición de indicadores'!$V7</f>
        <v>0.2355488453720529</v>
      </c>
    </row>
    <row r="8" spans="1:67" ht="13.8" thickBot="1" x14ac:dyDescent="0.3">
      <c r="A8" s="179"/>
      <c r="B8" s="180"/>
      <c r="C8" s="6" t="s">
        <v>43</v>
      </c>
      <c r="D8" s="23">
        <f>'Indicadores y valoración'!E9</f>
        <v>2</v>
      </c>
      <c r="E8" s="29">
        <f>'Medición de indicadores'!D8*'Medición de indicadores'!$U8+'Medición de indicadores'!$V8</f>
        <v>1.0000000000000004</v>
      </c>
      <c r="F8" s="29">
        <f>'Medición de indicadores'!E8*'Medición de indicadores'!$U8+'Medición de indicadores'!$V8</f>
        <v>0.99999838062691682</v>
      </c>
      <c r="G8" s="29">
        <f>'Medición de indicadores'!F8*'Medición de indicadores'!$U8+'Medición de indicadores'!$V8</f>
        <v>0.18592196764293334</v>
      </c>
      <c r="H8" s="29">
        <f>'Medición de indicadores'!G8*'Medición de indicadores'!$U8+'Medición de indicadores'!$V8</f>
        <v>0.25919037823323432</v>
      </c>
      <c r="I8" s="29">
        <f>'Medición de indicadores'!H8*'Medición de indicadores'!$U8+'Medición de indicadores'!$V8</f>
        <v>0.17797533022131429</v>
      </c>
      <c r="J8" s="29">
        <f>'Medición de indicadores'!I8*'Medición de indicadores'!$U8+'Medición de indicadores'!$V8</f>
        <v>0.2546528948536082</v>
      </c>
      <c r="K8" s="29">
        <f>'Medición de indicadores'!J8*'Medición de indicadores'!$U8+'Medición de indicadores'!$V8</f>
        <v>1.1395154686255182E-2</v>
      </c>
      <c r="L8" s="29">
        <f>'Medición de indicadores'!K8*'Medición de indicadores'!$U8+'Medición de indicadores'!$V8</f>
        <v>8.4670541037530356E-2</v>
      </c>
      <c r="M8" s="29">
        <f>'Medición de indicadores'!L8*'Medición de indicadores'!$U8+'Medición de indicadores'!$V8</f>
        <v>0</v>
      </c>
      <c r="N8" s="29">
        <f>'Medición de indicadores'!M8*'Medición de indicadores'!$U8+'Medición de indicadores'!$V8</f>
        <v>7.7269881479329783E-2</v>
      </c>
      <c r="O8" s="29">
        <f>'Medición de indicadores'!N8*'Medición de indicadores'!$U8+'Medición de indicadores'!$V8</f>
        <v>2.3643843554609134E-2</v>
      </c>
      <c r="P8" s="29">
        <f>'Medición de indicadores'!O8*'Medición de indicadores'!$U8+'Medición de indicadores'!$V8</f>
        <v>9.6913250682192142E-2</v>
      </c>
      <c r="Q8" s="29">
        <f>'Medición de indicadores'!P8*'Medición de indicadores'!$U8+'Medición de indicadores'!$V8</f>
        <v>1.4839561234600396E-2</v>
      </c>
      <c r="R8" s="29">
        <f>'Medición de indicadores'!Q8*'Medición de indicadores'!$U8+'Medición de indicadores'!$V8</f>
        <v>9.1512766016285774E-2</v>
      </c>
    </row>
    <row r="9" spans="1:67" ht="14.4" thickTop="1" thickBot="1" x14ac:dyDescent="0.3">
      <c r="A9" s="151" t="s">
        <v>3</v>
      </c>
      <c r="B9" s="181" t="s">
        <v>4</v>
      </c>
      <c r="C9" s="7" t="s">
        <v>5</v>
      </c>
      <c r="D9" s="19">
        <f>'Indicadores y valoración'!E10</f>
        <v>6</v>
      </c>
      <c r="E9" s="25">
        <f>'Medición de indicadores'!D9*'Medición de indicadores'!$U9+'Medición de indicadores'!$V9</f>
        <v>1</v>
      </c>
      <c r="F9" s="25">
        <f>'Medición de indicadores'!E9*'Medición de indicadores'!$U9+'Medición de indicadores'!$V9</f>
        <v>1</v>
      </c>
      <c r="G9" s="25">
        <f>'Medición de indicadores'!F9*'Medición de indicadores'!$U9+'Medición de indicadores'!$V9</f>
        <v>0.13206106870229029</v>
      </c>
      <c r="H9" s="25">
        <f>'Medición de indicadores'!G9*'Medición de indicadores'!$U9+'Medición de indicadores'!$V9</f>
        <v>0</v>
      </c>
      <c r="I9" s="25">
        <f>'Medición de indicadores'!H9*'Medición de indicadores'!$U9+'Medición de indicadores'!$V9</f>
        <v>0.13206106870229029</v>
      </c>
      <c r="J9" s="25">
        <f>'Medición de indicadores'!I9*'Medición de indicadores'!$U9+'Medición de indicadores'!$V9</f>
        <v>0</v>
      </c>
      <c r="K9" s="25">
        <f>'Medición de indicadores'!J9*'Medición de indicadores'!$U9+'Medición de indicadores'!$V9</f>
        <v>0.13206106870229029</v>
      </c>
      <c r="L9" s="25">
        <f>'Medición de indicadores'!K9*'Medición de indicadores'!$U9+'Medición de indicadores'!$V9</f>
        <v>0</v>
      </c>
      <c r="M9" s="25">
        <f>'Medición de indicadores'!L9*'Medición de indicadores'!$U9+'Medición de indicadores'!$V9</f>
        <v>0.13206106870229029</v>
      </c>
      <c r="N9" s="25">
        <f>'Medición de indicadores'!M9*'Medición de indicadores'!$U9+'Medición de indicadores'!$V9</f>
        <v>0</v>
      </c>
      <c r="O9" s="25">
        <f>'Medición de indicadores'!N9*'Medición de indicadores'!$U9+'Medición de indicadores'!$V9</f>
        <v>0.13206106870229029</v>
      </c>
      <c r="P9" s="25">
        <f>'Medición de indicadores'!O9*'Medición de indicadores'!$U9+'Medición de indicadores'!$V9</f>
        <v>0</v>
      </c>
      <c r="Q9" s="25">
        <f>'Medición de indicadores'!P9*'Medición de indicadores'!$U9+'Medición de indicadores'!$V9</f>
        <v>0.13206106870229029</v>
      </c>
      <c r="R9" s="25">
        <f>'Medición de indicadores'!Q9*'Medición de indicadores'!$U9+'Medición de indicadores'!$V9</f>
        <v>0</v>
      </c>
    </row>
    <row r="10" spans="1:67" ht="13.8" thickBot="1" x14ac:dyDescent="0.3">
      <c r="A10" s="177"/>
      <c r="B10" s="182"/>
      <c r="C10" s="8" t="s">
        <v>95</v>
      </c>
      <c r="D10" s="21">
        <f>'Indicadores y valoración'!E11</f>
        <v>4</v>
      </c>
      <c r="E10" s="44">
        <f>'Medición de indicadores'!D10*'Medición de indicadores'!$U10+'Medición de indicadores'!$V10</f>
        <v>1</v>
      </c>
      <c r="F10" s="44">
        <f>'Medición de indicadores'!E10*'Medición de indicadores'!$U10+'Medición de indicadores'!$V10</f>
        <v>1</v>
      </c>
      <c r="G10" s="132">
        <f>'Medición de indicadores'!F10*'Medición de indicadores'!$U10+'Medición de indicadores'!$V10</f>
        <v>0.14855619093757566</v>
      </c>
      <c r="H10" s="133">
        <f>'Medición de indicadores'!G10*'Medición de indicadores'!$U10+'Medición de indicadores'!$V10</f>
        <v>0.20812769641791729</v>
      </c>
      <c r="I10" s="44">
        <f>'Medición de indicadores'!H10*'Medición de indicadores'!$U10+'Medición de indicadores'!$V10</f>
        <v>0.14529828931967081</v>
      </c>
      <c r="J10" s="44">
        <f>'Medición de indicadores'!I10*'Medición de indicadores'!$U10+'Medición de indicadores'!$V10</f>
        <v>0.20588946597830127</v>
      </c>
      <c r="K10" s="44">
        <f>'Medición de indicadores'!J10*'Medición de indicadores'!$U10+'Medición de indicadores'!$V10</f>
        <v>4.0322702345414463E-3</v>
      </c>
      <c r="L10" s="44">
        <f>'Medición de indicadores'!K10*'Medición de indicadores'!$U10+'Medición de indicadores'!$V10</f>
        <v>5.1022815651478037E-2</v>
      </c>
      <c r="M10" s="44">
        <f>'Medición de indicadores'!L10*'Medición de indicadores'!$U10+'Medición de indicadores'!$V10</f>
        <v>0</v>
      </c>
      <c r="N10" s="44">
        <f>'Medición de indicadores'!M10*'Medición de indicadores'!$U10+'Medición de indicadores'!$V10</f>
        <v>5.5163592110767379E-2</v>
      </c>
      <c r="O10" s="44">
        <f>'Medición de indicadores'!N10*'Medición de indicadores'!$U10+'Medición de indicadores'!$V10</f>
        <v>8.0730631010186293E-3</v>
      </c>
      <c r="P10" s="44">
        <f>'Medición de indicadores'!O10*'Medición de indicadores'!$U10+'Medición de indicadores'!$V10</f>
        <v>6.4512810380478847E-2</v>
      </c>
      <c r="Q10" s="44">
        <f>'Medición de indicadores'!P10*'Medición de indicadores'!$U10+'Medición de indicadores'!$V10</f>
        <v>5.0416683997753786E-3</v>
      </c>
      <c r="R10" s="44">
        <f>'Medición de indicadores'!Q10*'Medición de indicadores'!$U10+'Medición de indicadores'!$V10</f>
        <v>6.1391395333559196E-2</v>
      </c>
    </row>
    <row r="11" spans="1:67" ht="13.8" thickBot="1" x14ac:dyDescent="0.3">
      <c r="A11" s="177"/>
      <c r="B11" s="183" t="s">
        <v>6</v>
      </c>
      <c r="C11" s="3" t="s">
        <v>7</v>
      </c>
      <c r="D11" s="22">
        <f>'Indicadores y valoración'!E12</f>
        <v>3</v>
      </c>
      <c r="E11" s="27">
        <f>'Medición de indicadores'!D11*'Medición de indicadores'!$U11+'Medición de indicadores'!$V11</f>
        <v>0.875</v>
      </c>
      <c r="F11" s="27">
        <f>'Medición de indicadores'!E11*'Medición de indicadores'!$U11+'Medición de indicadores'!$V11</f>
        <v>1</v>
      </c>
      <c r="G11" s="27">
        <f>'Medición de indicadores'!F11*'Medición de indicadores'!$U11+'Medición de indicadores'!$V11</f>
        <v>0.875</v>
      </c>
      <c r="H11" s="27">
        <f>'Medición de indicadores'!G11*'Medición de indicadores'!$U11+'Medición de indicadores'!$V11</f>
        <v>0.5</v>
      </c>
      <c r="I11" s="27">
        <f>'Medición de indicadores'!H11*'Medición de indicadores'!$U11+'Medición de indicadores'!$V11</f>
        <v>0.75</v>
      </c>
      <c r="J11" s="27">
        <f>'Medición de indicadores'!I11*'Medición de indicadores'!$U11+'Medición de indicadores'!$V11</f>
        <v>0.5</v>
      </c>
      <c r="K11" s="27">
        <f>'Medición de indicadores'!J11*'Medición de indicadores'!$U11+'Medición de indicadores'!$V11</f>
        <v>0.75</v>
      </c>
      <c r="L11" s="27">
        <f>'Medición de indicadores'!K11*'Medición de indicadores'!$U11+'Medición de indicadores'!$V11</f>
        <v>0.375</v>
      </c>
      <c r="M11" s="27">
        <f>'Medición de indicadores'!L11*'Medición de indicadores'!$U11+'Medición de indicadores'!$V11</f>
        <v>0.625</v>
      </c>
      <c r="N11" s="27">
        <f>'Medición de indicadores'!M11*'Medición de indicadores'!$U11+'Medición de indicadores'!$V11</f>
        <v>0.5</v>
      </c>
      <c r="O11" s="27">
        <f>'Medición de indicadores'!N11*'Medición de indicadores'!$U11+'Medición de indicadores'!$V11</f>
        <v>0.25</v>
      </c>
      <c r="P11" s="27">
        <f>'Medición de indicadores'!O11*'Medición de indicadores'!$U11+'Medición de indicadores'!$V11</f>
        <v>0</v>
      </c>
      <c r="Q11" s="27">
        <f>'Medición de indicadores'!P11*'Medición de indicadores'!$U11+'Medición de indicadores'!$V11</f>
        <v>0.25</v>
      </c>
      <c r="R11" s="27">
        <f>'Medición de indicadores'!Q11*'Medición de indicadores'!$U11+'Medición de indicadores'!$V11</f>
        <v>0</v>
      </c>
    </row>
    <row r="12" spans="1:67" ht="13.8" thickBot="1" x14ac:dyDescent="0.3">
      <c r="A12" s="177"/>
      <c r="B12" s="184"/>
      <c r="C12" s="8" t="s">
        <v>37</v>
      </c>
      <c r="D12" s="20">
        <f>'Indicadores y valoración'!E13</f>
        <v>3</v>
      </c>
      <c r="E12" s="27">
        <f>'Medición de indicadores'!D12*'Medición de indicadores'!$U12+'Medición de indicadores'!$V12</f>
        <v>1</v>
      </c>
      <c r="F12" s="27">
        <f>'Medición de indicadores'!E12*'Medición de indicadores'!$U12+'Medición de indicadores'!$V12</f>
        <v>1</v>
      </c>
      <c r="G12" s="27">
        <f>'Medición de indicadores'!F12*'Medición de indicadores'!$U12+'Medición de indicadores'!$V12</f>
        <v>0.35294117647058831</v>
      </c>
      <c r="H12" s="27">
        <f>'Medición de indicadores'!G12*'Medición de indicadores'!$U12+'Medición de indicadores'!$V12</f>
        <v>0.85294117647058831</v>
      </c>
      <c r="I12" s="27">
        <f>'Medición de indicadores'!H12*'Medición de indicadores'!$U12+'Medición de indicadores'!$V12</f>
        <v>0.35294117647058831</v>
      </c>
      <c r="J12" s="27">
        <f>'Medición de indicadores'!I12*'Medición de indicadores'!$U12+'Medición de indicadores'!$V12</f>
        <v>0.85294117647058831</v>
      </c>
      <c r="K12" s="27">
        <f>'Medición de indicadores'!J12*'Medición de indicadores'!$U12+'Medición de indicadores'!$V12</f>
        <v>0.35294117647058831</v>
      </c>
      <c r="L12" s="27">
        <f>'Medición de indicadores'!K12*'Medición de indicadores'!$U12+'Medición de indicadores'!$V12</f>
        <v>0.85294117647058831</v>
      </c>
      <c r="M12" s="27">
        <f>'Medición de indicadores'!L12*'Medición de indicadores'!$U12+'Medición de indicadores'!$V12</f>
        <v>0.35294117647058831</v>
      </c>
      <c r="N12" s="27">
        <f>'Medición de indicadores'!M12*'Medición de indicadores'!$U12+'Medición de indicadores'!$V12</f>
        <v>0.85294117647058831</v>
      </c>
      <c r="O12" s="27">
        <f>'Medición de indicadores'!N12*'Medición de indicadores'!$U12+'Medición de indicadores'!$V12</f>
        <v>2.941176470588247E-2</v>
      </c>
      <c r="P12" s="27">
        <f>'Medición de indicadores'!O12*'Medición de indicadores'!$U12+'Medición de indicadores'!$V12</f>
        <v>0.52941176470588247</v>
      </c>
      <c r="Q12" s="27">
        <f>'Medición de indicadores'!P12*'Medición de indicadores'!$U12+'Medición de indicadores'!$V12</f>
        <v>0</v>
      </c>
      <c r="R12" s="27">
        <f>'Medición de indicadores'!Q12*'Medición de indicadores'!$U12+'Medición de indicadores'!$V12</f>
        <v>0.50000000000000011</v>
      </c>
    </row>
    <row r="13" spans="1:67" ht="13.8" thickBot="1" x14ac:dyDescent="0.3">
      <c r="A13" s="177"/>
      <c r="B13" s="184"/>
      <c r="C13" s="8" t="s">
        <v>38</v>
      </c>
      <c r="D13" s="20">
        <f>'Indicadores y valoración'!E14</f>
        <v>2</v>
      </c>
      <c r="E13" s="27">
        <f>'Medición de indicadores'!D13*'Medición de indicadores'!$U13+'Medición de indicadores'!$V13</f>
        <v>1</v>
      </c>
      <c r="F13" s="27">
        <f>'Medición de indicadores'!E13*'Medición de indicadores'!$U13+'Medición de indicadores'!$V13</f>
        <v>1</v>
      </c>
      <c r="G13" s="27">
        <f>'Medición de indicadores'!F13*'Medición de indicadores'!$U13+'Medición de indicadores'!$V13</f>
        <v>0.76291512915129189</v>
      </c>
      <c r="H13" s="27">
        <f>'Medición de indicadores'!G13*'Medición de indicadores'!$U13+'Medición de indicadores'!$V13</f>
        <v>0.47970479704797064</v>
      </c>
      <c r="I13" s="27">
        <f>'Medición de indicadores'!H13*'Medición de indicadores'!$U13+'Medición de indicadores'!$V13</f>
        <v>0.76291512915129189</v>
      </c>
      <c r="J13" s="27">
        <f>'Medición de indicadores'!I13*'Medición de indicadores'!$U13+'Medición de indicadores'!$V13</f>
        <v>0.47970479704797064</v>
      </c>
      <c r="K13" s="27">
        <f>'Medición de indicadores'!J13*'Medición de indicadores'!$U13+'Medición de indicadores'!$V13</f>
        <v>0.28321033210332125</v>
      </c>
      <c r="L13" s="27">
        <f>'Medición de indicadores'!K13*'Medición de indicadores'!$U13+'Medición de indicadores'!$V13</f>
        <v>0</v>
      </c>
      <c r="M13" s="27">
        <f>'Medición de indicadores'!L13*'Medición de indicadores'!$U13+'Medición de indicadores'!$V13</f>
        <v>0.28321033210332125</v>
      </c>
      <c r="N13" s="27">
        <f>'Medición de indicadores'!M13*'Medición de indicadores'!$U13+'Medición de indicadores'!$V13</f>
        <v>0</v>
      </c>
      <c r="O13" s="27">
        <f>'Medición de indicadores'!N13*'Medición de indicadores'!$U13+'Medición de indicadores'!$V13</f>
        <v>0.32749077490774914</v>
      </c>
      <c r="P13" s="27">
        <f>'Medición de indicadores'!O13*'Medición de indicadores'!$U13+'Medición de indicadores'!$V13</f>
        <v>4.4280442804428333E-2</v>
      </c>
      <c r="Q13" s="27">
        <f>'Medición de indicadores'!P13*'Medición de indicadores'!$U13+'Medición de indicadores'!$V13</f>
        <v>0.32749077490774914</v>
      </c>
      <c r="R13" s="27">
        <f>'Medición de indicadores'!Q13*'Medición de indicadores'!$U13+'Medición de indicadores'!$V13</f>
        <v>4.4280442804428333E-2</v>
      </c>
    </row>
    <row r="14" spans="1:67" ht="13.8" thickBot="1" x14ac:dyDescent="0.3">
      <c r="A14" s="179"/>
      <c r="B14" s="185"/>
      <c r="C14" s="6" t="s">
        <v>8</v>
      </c>
      <c r="D14" s="23">
        <f>'Indicadores y valoración'!E15</f>
        <v>2</v>
      </c>
      <c r="E14" s="27">
        <f>'Medición de indicadores'!D14*'Medición de indicadores'!$U14+'Medición de indicadores'!$V14</f>
        <v>1</v>
      </c>
      <c r="F14" s="27">
        <f>'Medición de indicadores'!E14*'Medición de indicadores'!$U14+'Medición de indicadores'!$V14</f>
        <v>1</v>
      </c>
      <c r="G14" s="27">
        <f>'Medición de indicadores'!F14*'Medición de indicadores'!$U14+'Medición de indicadores'!$V14</f>
        <v>0</v>
      </c>
      <c r="H14" s="27">
        <f>'Medición de indicadores'!G14*'Medición de indicadores'!$U14+'Medición de indicadores'!$V14</f>
        <v>0</v>
      </c>
      <c r="I14" s="27">
        <f>'Medición de indicadores'!H14*'Medición de indicadores'!$U14+'Medición de indicadores'!$V14</f>
        <v>0</v>
      </c>
      <c r="J14" s="27">
        <f>'Medición de indicadores'!I14*'Medición de indicadores'!$U14+'Medición de indicadores'!$V14</f>
        <v>0</v>
      </c>
      <c r="K14" s="27">
        <f>'Medición de indicadores'!J14*'Medición de indicadores'!$U14+'Medición de indicadores'!$V14</f>
        <v>1</v>
      </c>
      <c r="L14" s="27">
        <f>'Medición de indicadores'!K14*'Medición de indicadores'!$U14+'Medición de indicadores'!$V14</f>
        <v>1</v>
      </c>
      <c r="M14" s="27">
        <f>'Medición de indicadores'!L14*'Medición de indicadores'!$U14+'Medición de indicadores'!$V14</f>
        <v>1</v>
      </c>
      <c r="N14" s="27">
        <f>'Medición de indicadores'!M14*'Medición de indicadores'!$U14+'Medición de indicadores'!$V14</f>
        <v>1</v>
      </c>
      <c r="O14" s="27">
        <f>'Medición de indicadores'!N14*'Medición de indicadores'!$U14+'Medición de indicadores'!$V14</f>
        <v>1</v>
      </c>
      <c r="P14" s="27">
        <f>'Medición de indicadores'!O14*'Medición de indicadores'!$U14+'Medición de indicadores'!$V14</f>
        <v>1</v>
      </c>
      <c r="Q14" s="27">
        <f>'Medición de indicadores'!P14*'Medición de indicadores'!$U14+'Medición de indicadores'!$V14</f>
        <v>1</v>
      </c>
      <c r="R14" s="27">
        <f>'Medición de indicadores'!Q14*'Medición de indicadores'!$U14+'Medición de indicadores'!$V14</f>
        <v>1</v>
      </c>
    </row>
    <row r="15" spans="1:67" ht="14.4" thickTop="1" thickBot="1" x14ac:dyDescent="0.3">
      <c r="A15" s="199" t="s">
        <v>9</v>
      </c>
      <c r="B15" s="181" t="s">
        <v>10</v>
      </c>
      <c r="C15" s="7" t="s">
        <v>11</v>
      </c>
      <c r="D15" s="19">
        <f>'Indicadores y valoración'!E16</f>
        <v>4</v>
      </c>
      <c r="E15" s="53">
        <f>'Medición de indicadores'!D15*'Medición de indicadores'!$U15+'Medición de indicadores'!$V15</f>
        <v>1</v>
      </c>
      <c r="F15" s="53">
        <f>'Medición de indicadores'!E15*'Medición de indicadores'!$U15+'Medición de indicadores'!$V15</f>
        <v>1</v>
      </c>
      <c r="G15" s="53">
        <f>'Medición de indicadores'!F15*'Medición de indicadores'!$U15+'Medición de indicadores'!$V15</f>
        <v>3.9898639947466563E-17</v>
      </c>
      <c r="H15" s="53">
        <f>'Medición de indicadores'!G15*'Medición de indicadores'!$U15+'Medición de indicadores'!$V15</f>
        <v>0.95565019597665712</v>
      </c>
      <c r="I15" s="53">
        <f>'Medición de indicadores'!H15*'Medición de indicadores'!$U15+'Medición de indicadores'!$V15</f>
        <v>0.95634202378982902</v>
      </c>
      <c r="J15" s="53">
        <f>'Medición de indicadores'!I15*'Medición de indicadores'!$U15+'Medición de indicadores'!$V15</f>
        <v>0.9556871541466766</v>
      </c>
      <c r="K15" s="53">
        <f>'Medición de indicadores'!J15*'Medición de indicadores'!$U15+'Medición de indicadores'!$V15</f>
        <v>0.99653587302027602</v>
      </c>
      <c r="L15" s="53">
        <f>'Medición de indicadores'!K15*'Medición de indicadores'!$U15+'Medición de indicadores'!$V15</f>
        <v>0.99649330026017258</v>
      </c>
      <c r="M15" s="53">
        <f>'Medición de indicadores'!L15*'Medición de indicadores'!$U15+'Medición de indicadores'!$V15</f>
        <v>0.99653952619926867</v>
      </c>
      <c r="N15" s="53">
        <f>'Medición de indicadores'!M15*'Medición de indicadores'!$U15+'Medición de indicadores'!$V15</f>
        <v>0.99648954877609675</v>
      </c>
      <c r="O15" s="53">
        <f>'Medición de indicadores'!N15*'Medición de indicadores'!$U15+'Medición de indicadores'!$V15</f>
        <v>0.98586209556575066</v>
      </c>
      <c r="P15" s="53">
        <f>'Medición de indicadores'!O15*'Medición de indicadores'!$U15+'Medición de indicadores'!$V15</f>
        <v>0.9856536278059963</v>
      </c>
      <c r="Q15" s="53">
        <f>'Medición de indicadores'!P15*'Medición de indicadores'!$U15+'Medición de indicadores'!$V15</f>
        <v>0.985873292427763</v>
      </c>
      <c r="R15" s="53">
        <f>'Medición de indicadores'!Q15*'Medición de indicadores'!$U15+'Medición de indicadores'!$V15</f>
        <v>0.98566899617470982</v>
      </c>
    </row>
    <row r="16" spans="1:67" ht="13.8" thickBot="1" x14ac:dyDescent="0.3">
      <c r="A16" s="211"/>
      <c r="B16" s="182"/>
      <c r="C16" s="4" t="s">
        <v>100</v>
      </c>
      <c r="D16" s="20">
        <f>'Indicadores y valoración'!E17</f>
        <v>2</v>
      </c>
      <c r="E16" s="27">
        <f>'Medición de indicadores'!D16*'Medición de indicadores'!$U16+'Medición de indicadores'!$V16</f>
        <v>0.57898008622037089</v>
      </c>
      <c r="F16" s="27">
        <f>'Medición de indicadores'!E16*'Medición de indicadores'!$U16+'Medición de indicadores'!$V16</f>
        <v>0.57898008622037089</v>
      </c>
      <c r="G16" s="27">
        <f>'Medición de indicadores'!F16*'Medición de indicadores'!$U16+'Medición de indicadores'!$V16</f>
        <v>0</v>
      </c>
      <c r="H16" s="27">
        <f>'Medición de indicadores'!G16*'Medición de indicadores'!$U16+'Medición de indicadores'!$V16</f>
        <v>1.7954137649633495E-2</v>
      </c>
      <c r="I16" s="27">
        <f>'Medición de indicadores'!H16*'Medición de indicadores'!$U16+'Medición de indicadores'!$V16</f>
        <v>1.6581643837270121E-2</v>
      </c>
      <c r="J16" s="27">
        <f>'Medición de indicadores'!I16*'Medición de indicadores'!$U16+'Medición de indicadores'!$V16</f>
        <v>5.2381529220429712E-2</v>
      </c>
      <c r="K16" s="27">
        <f>'Medición de indicadores'!J16*'Medición de indicadores'!$U16+'Medición de indicadores'!$V16</f>
        <v>0.98983457522938423</v>
      </c>
      <c r="L16" s="27">
        <f>'Medición de indicadores'!K16*'Medición de indicadores'!$U16+'Medición de indicadores'!$V16</f>
        <v>1</v>
      </c>
      <c r="M16" s="27">
        <f>'Medición de indicadores'!L16*'Medición de indicadores'!$U16+'Medición de indicadores'!$V16</f>
        <v>0.99104545817578504</v>
      </c>
      <c r="N16" s="27">
        <f>'Medición de indicadores'!M16*'Medición de indicadores'!$U16+'Medición de indicadores'!$V16</f>
        <v>1</v>
      </c>
      <c r="O16" s="27">
        <f>'Medición de indicadores'!N16*'Medición de indicadores'!$U16+'Medición de indicadores'!$V16</f>
        <v>6.7029736490432867E-2</v>
      </c>
      <c r="P16" s="27">
        <f>'Medición de indicadores'!O16*'Medición de indicadores'!$U16+'Medición de indicadores'!$V16</f>
        <v>8.1268020408918673E-2</v>
      </c>
      <c r="Q16" s="27">
        <f>'Medición de indicadores'!P16*'Medición de indicadores'!$U16+'Medición de indicadores'!$V16</f>
        <v>9.4427919844441988E-2</v>
      </c>
      <c r="R16" s="27">
        <f>'Medición de indicadores'!Q16*'Medición de indicadores'!$U16+'Medición de indicadores'!$V16</f>
        <v>8.5378610855284975E-2</v>
      </c>
    </row>
    <row r="17" spans="1:18" ht="13.8" thickBot="1" x14ac:dyDescent="0.3">
      <c r="A17" s="211"/>
      <c r="B17" s="182"/>
      <c r="C17" s="8" t="s">
        <v>99</v>
      </c>
      <c r="D17" s="20">
        <f>'Indicadores y valoración'!E18</f>
        <v>2</v>
      </c>
      <c r="E17" s="44">
        <f>'Medición de indicadores'!D17*'Medición de indicadores'!$U17+'Medición de indicadores'!$V17</f>
        <v>0</v>
      </c>
      <c r="F17" s="27">
        <f>'Medición de indicadores'!E17*'Medición de indicadores'!$U17+'Medición de indicadores'!$V17</f>
        <v>0.67122249114521459</v>
      </c>
      <c r="G17" s="27">
        <f>'Medición de indicadores'!F17*'Medición de indicadores'!$U17+'Medición de indicadores'!$V17</f>
        <v>0.80146993401561573</v>
      </c>
      <c r="H17" s="27">
        <f>'Medición de indicadores'!G17*'Medición de indicadores'!$U17+'Medición de indicadores'!$V17</f>
        <v>0.79816201844797818</v>
      </c>
      <c r="I17" s="27">
        <f>'Medición de indicadores'!H17*'Medición de indicadores'!$U17+'Medición de indicadores'!$V17</f>
        <v>1</v>
      </c>
      <c r="J17" s="27">
        <f>'Medición de indicadores'!I17*'Medición de indicadores'!$U17+'Medición de indicadores'!$V17</f>
        <v>1</v>
      </c>
      <c r="K17" s="27">
        <f>'Medición de indicadores'!J17*'Medición de indicadores'!$U17+'Medición de indicadores'!$V17</f>
        <v>0.64424247261110446</v>
      </c>
      <c r="L17" s="27">
        <f>'Medición de indicadores'!K17*'Medición de indicadores'!$U17+'Medición de indicadores'!$V17</f>
        <v>0.63863175512488546</v>
      </c>
      <c r="M17" s="27">
        <f>'Medición de indicadores'!L17*'Medición de indicadores'!$U17+'Medición de indicadores'!$V17</f>
        <v>1</v>
      </c>
      <c r="N17" s="27">
        <f>'Medición de indicadores'!M17*'Medición de indicadores'!$U17+'Medición de indicadores'!$V17</f>
        <v>1</v>
      </c>
      <c r="O17" s="27">
        <f>'Medición de indicadores'!N17*'Medición de indicadores'!$U17+'Medición de indicadores'!$V17</f>
        <v>0.68332645640943168</v>
      </c>
      <c r="P17" s="27">
        <f>'Medición de indicadores'!O17*'Medición de indicadores'!$U17+'Medición de indicadores'!$V17</f>
        <v>0.67831875362952188</v>
      </c>
      <c r="Q17" s="27">
        <f>'Medición de indicadores'!P17*'Medición de indicadores'!$U17+'Medición de indicadores'!$V17</f>
        <v>0.87532942885451059</v>
      </c>
      <c r="R17" s="27">
        <f>'Medición de indicadores'!Q17*'Medición de indicadores'!$U17+'Medición de indicadores'!$V17</f>
        <v>0.87325993075249719</v>
      </c>
    </row>
    <row r="18" spans="1:18" ht="13.8" thickBot="1" x14ac:dyDescent="0.3">
      <c r="A18" s="212"/>
      <c r="B18" s="182"/>
      <c r="C18" s="5" t="s">
        <v>101</v>
      </c>
      <c r="D18" s="21">
        <f>'Indicadores y valoración'!E19</f>
        <v>2</v>
      </c>
      <c r="E18" s="44">
        <f>'Medición de indicadores'!D18*'Medición de indicadores'!$U18+'Medición de indicadores'!$V18</f>
        <v>0</v>
      </c>
      <c r="F18" s="44">
        <f>'Medición de indicadores'!E18*'Medición de indicadores'!$U18+'Medición de indicadores'!$V18</f>
        <v>0.81416379903211511</v>
      </c>
      <c r="G18" s="44">
        <f>'Medición de indicadores'!F18*'Medición de indicadores'!$U18+'Medición de indicadores'!$V18</f>
        <v>0.45283231896312226</v>
      </c>
      <c r="H18" s="44">
        <f>'Medición de indicadores'!G18*'Medición de indicadores'!$U18+'Medición de indicadores'!$V18</f>
        <v>0.44270628842986115</v>
      </c>
      <c r="I18" s="44">
        <f>'Medición de indicadores'!H18*'Medición de indicadores'!$U18+'Medición de indicadores'!$V18</f>
        <v>0.97699072746214766</v>
      </c>
      <c r="J18" s="44">
        <f>'Medición de indicadores'!I18*'Medición de indicadores'!$U18+'Medición de indicadores'!$V18</f>
        <v>0.97555302606878547</v>
      </c>
      <c r="K18" s="44">
        <f>'Medición de indicadores'!J18*'Medición de indicadores'!$U18+'Medición de indicadores'!$V18</f>
        <v>9.9353312632937563E-2</v>
      </c>
      <c r="L18" s="44">
        <f>'Medición de indicadores'!K18*'Medición de indicadores'!$U18+'Medición de indicadores'!$V18</f>
        <v>8.4193898913455412E-2</v>
      </c>
      <c r="M18" s="44">
        <f>'Medición de indicadores'!L18*'Medición de indicadores'!$U18+'Medición de indicadores'!$V18</f>
        <v>0.97998136549114312</v>
      </c>
      <c r="N18" s="44">
        <f>'Medición de indicadores'!M18*'Medición de indicadores'!$U18+'Medición de indicadores'!$V18</f>
        <v>0.97813813837201691</v>
      </c>
      <c r="O18" s="44">
        <f>'Medición de indicadores'!N18*'Medición de indicadores'!$U18+'Medición de indicadores'!$V18</f>
        <v>0.3838088289082211</v>
      </c>
      <c r="P18" s="44">
        <f>'Medición de indicadores'!O18*'Medición de indicadores'!$U18+'Medición de indicadores'!$V18</f>
        <v>0.3731070086819166</v>
      </c>
      <c r="Q18" s="44">
        <f>'Medición de indicadores'!P18*'Medición de indicadores'!$U18+'Medición de indicadores'!$V18</f>
        <v>1</v>
      </c>
      <c r="R18" s="44">
        <f>'Medición de indicadores'!Q18*'Medición de indicadores'!$U18+'Medición de indicadores'!$V18</f>
        <v>0.99899467177394152</v>
      </c>
    </row>
    <row r="19" spans="1:18" ht="14.25" customHeight="1" thickTop="1" thickBot="1" x14ac:dyDescent="0.3">
      <c r="A19" s="195" t="s">
        <v>12</v>
      </c>
      <c r="B19" s="54" t="s">
        <v>65</v>
      </c>
      <c r="C19" s="7" t="s">
        <v>72</v>
      </c>
      <c r="D19" s="89">
        <f>'Indicadores y valoración'!E20</f>
        <v>10</v>
      </c>
      <c r="E19" s="56">
        <f>'Medición de indicadores'!D19*'Medición de indicadores'!$U19+'Medición de indicadores'!$V19</f>
        <v>1</v>
      </c>
      <c r="F19" s="56">
        <f>'Medición de indicadores'!E19*'Medición de indicadores'!$U19+'Medición de indicadores'!$V19</f>
        <v>1</v>
      </c>
      <c r="G19" s="56">
        <f>'Medición de indicadores'!F19*'Medición de indicadores'!$U19+'Medición de indicadores'!$V19</f>
        <v>0</v>
      </c>
      <c r="H19" s="56">
        <f>'Medición de indicadores'!G19*'Medición de indicadores'!$U19+'Medición de indicadores'!$V19</f>
        <v>0</v>
      </c>
      <c r="I19" s="56">
        <f>'Medición de indicadores'!H19*'Medición de indicadores'!$U19+'Medición de indicadores'!$V19</f>
        <v>0</v>
      </c>
      <c r="J19" s="56">
        <f>'Medición de indicadores'!I19*'Medición de indicadores'!$U19+'Medición de indicadores'!$V19</f>
        <v>0</v>
      </c>
      <c r="K19" s="56">
        <f>'Medición de indicadores'!J19*'Medición de indicadores'!$U19+'Medición de indicadores'!$V19</f>
        <v>1</v>
      </c>
      <c r="L19" s="56">
        <f>'Medición de indicadores'!K19*'Medición de indicadores'!$U19+'Medición de indicadores'!$V19</f>
        <v>1</v>
      </c>
      <c r="M19" s="56">
        <f>'Medición de indicadores'!L19*'Medición de indicadores'!$U19+'Medición de indicadores'!$V19</f>
        <v>1</v>
      </c>
      <c r="N19" s="56">
        <f>'Medición de indicadores'!M19*'Medición de indicadores'!$U19+'Medición de indicadores'!$V19</f>
        <v>1</v>
      </c>
      <c r="O19" s="56">
        <f>'Medición de indicadores'!N19*'Medición de indicadores'!$U19+'Medición de indicadores'!$V19</f>
        <v>1</v>
      </c>
      <c r="P19" s="56">
        <f>'Medición de indicadores'!O19*'Medición de indicadores'!$U19+'Medición de indicadores'!$V19</f>
        <v>1</v>
      </c>
      <c r="Q19" s="56">
        <f>'Medición de indicadores'!P19*'Medición de indicadores'!$U19+'Medición de indicadores'!$V19</f>
        <v>1</v>
      </c>
      <c r="R19" s="56">
        <f>'Medición de indicadores'!Q19*'Medición de indicadores'!$U19+'Medición de indicadores'!$V19</f>
        <v>1</v>
      </c>
    </row>
    <row r="20" spans="1:18" x14ac:dyDescent="0.25">
      <c r="A20" s="196"/>
      <c r="B20" s="197" t="s">
        <v>14</v>
      </c>
      <c r="C20" s="3" t="s">
        <v>32</v>
      </c>
      <c r="D20" s="22">
        <f>'Indicadores y valoración'!E21</f>
        <v>5</v>
      </c>
      <c r="E20" s="55">
        <f>'Medición de indicadores'!D20*'Medición de indicadores'!$U20+'Medición de indicadores'!$V20</f>
        <v>0</v>
      </c>
      <c r="F20" s="55">
        <f>'Medición de indicadores'!E20*'Medición de indicadores'!$U20+'Medición de indicadores'!$V20</f>
        <v>0</v>
      </c>
      <c r="G20" s="55">
        <f>'Medición de indicadores'!F20*'Medición de indicadores'!$U20+'Medición de indicadores'!$V20</f>
        <v>0.82665565923412387</v>
      </c>
      <c r="H20" s="55">
        <f>'Medición de indicadores'!G20*'Medición de indicadores'!$U20+'Medición de indicadores'!$V20</f>
        <v>0.99999999999999822</v>
      </c>
      <c r="I20" s="55">
        <f>'Medición de indicadores'!H20*'Medición de indicadores'!$U20+'Medición de indicadores'!$V20</f>
        <v>0.82665565923412387</v>
      </c>
      <c r="J20" s="55">
        <f>'Medición de indicadores'!I20*'Medición de indicadores'!$U20+'Medición de indicadores'!$V20</f>
        <v>0.99999999999999822</v>
      </c>
      <c r="K20" s="55">
        <f>'Medición de indicadores'!J20*'Medición de indicadores'!$U20+'Medición de indicadores'!$V20</f>
        <v>0.7666386431572132</v>
      </c>
      <c r="L20" s="55">
        <f>'Medición de indicadores'!K20*'Medición de indicadores'!$U20+'Medición de indicadores'!$V20</f>
        <v>0.93998677088382543</v>
      </c>
      <c r="M20" s="55">
        <f>'Medición de indicadores'!L20*'Medición de indicadores'!$U20+'Medición de indicadores'!$V20</f>
        <v>0.7666386431572132</v>
      </c>
      <c r="N20" s="55">
        <f>'Medición de indicadores'!M20*'Medición de indicadores'!$U20+'Medición de indicadores'!$V20</f>
        <v>0.93998677088382543</v>
      </c>
      <c r="O20" s="55">
        <f>'Medición de indicadores'!N20*'Medición de indicadores'!$U20+'Medición de indicadores'!$V20</f>
        <v>0.58869188277589046</v>
      </c>
      <c r="P20" s="55">
        <f>'Medición de indicadores'!O20*'Medición de indicadores'!$U20+'Medición de indicadores'!$V20</f>
        <v>0.76203874818225792</v>
      </c>
      <c r="Q20" s="55">
        <f>'Medición de indicadores'!P20*'Medición de indicadores'!$U20+'Medición de indicadores'!$V20</f>
        <v>0.58869188277589046</v>
      </c>
      <c r="R20" s="55">
        <f>'Medición de indicadores'!Q20*'Medición de indicadores'!$U20+'Medición de indicadores'!$V20</f>
        <v>0.76203874818225792</v>
      </c>
    </row>
    <row r="21" spans="1:18" ht="13.8" thickBot="1" x14ac:dyDescent="0.3">
      <c r="A21" s="196"/>
      <c r="B21" s="198"/>
      <c r="C21" s="5" t="s">
        <v>33</v>
      </c>
      <c r="D21" s="21">
        <f>'Indicadores y valoración'!E22</f>
        <v>5</v>
      </c>
      <c r="E21" s="27">
        <f>'Medición de indicadores'!D21*'Medición de indicadores'!$U21+'Medición de indicadores'!$V21</f>
        <v>1</v>
      </c>
      <c r="F21" s="27">
        <f>'Medición de indicadores'!E21*'Medición de indicadores'!$U21+'Medición de indicadores'!$V21</f>
        <v>1</v>
      </c>
      <c r="G21" s="27">
        <f>'Medición de indicadores'!F21*'Medición de indicadores'!$U21+'Medición de indicadores'!$V21</f>
        <v>0.41561110451150141</v>
      </c>
      <c r="H21" s="27">
        <f>'Medición de indicadores'!G21*'Medición de indicadores'!$U21+'Medición de indicadores'!$V21</f>
        <v>0.53479389418319867</v>
      </c>
      <c r="I21" s="27">
        <f>'Medición de indicadores'!H21*'Medición de indicadores'!$U21+'Medición de indicadores'!$V21</f>
        <v>0.41561110451150141</v>
      </c>
      <c r="J21" s="27">
        <f>'Medición de indicadores'!I21*'Medición de indicadores'!$U21+'Medición de indicadores'!$V21</f>
        <v>0.53479389418319867</v>
      </c>
      <c r="K21" s="27">
        <f>'Medición de indicadores'!J21*'Medición de indicadores'!$U21+'Medición de indicadores'!$V21</f>
        <v>0</v>
      </c>
      <c r="L21" s="27">
        <f>'Medición de indicadores'!K21*'Medición de indicadores'!$U21+'Medición de indicadores'!$V21</f>
        <v>0.12017865894820634</v>
      </c>
      <c r="M21" s="27">
        <f>'Medición de indicadores'!L21*'Medición de indicadores'!$U21+'Medición de indicadores'!$V21</f>
        <v>0</v>
      </c>
      <c r="N21" s="27">
        <f>'Medición de indicadores'!M21*'Medición de indicadores'!$U21+'Medición de indicadores'!$V21</f>
        <v>0.12017865894820634</v>
      </c>
      <c r="O21" s="27">
        <f>'Medición de indicadores'!N21*'Medición de indicadores'!$U21+'Medición de indicadores'!$V21</f>
        <v>2.4553157012307203E-2</v>
      </c>
      <c r="P21" s="27">
        <f>'Medición de indicadores'!O21*'Medición de indicadores'!$U21+'Medición de indicadores'!$V21</f>
        <v>0.14373594668400447</v>
      </c>
      <c r="Q21" s="27">
        <f>'Medición de indicadores'!P21*'Medición de indicadores'!$U21+'Medición de indicadores'!$V21</f>
        <v>2.4553157012307203E-2</v>
      </c>
      <c r="R21" s="27">
        <f>'Medición de indicadores'!Q21*'Medición de indicadores'!$U21+'Medición de indicadores'!$V21</f>
        <v>0.14373594668400447</v>
      </c>
    </row>
    <row r="22" spans="1:18" x14ac:dyDescent="0.25">
      <c r="A22" s="196"/>
      <c r="B22" s="197" t="s">
        <v>15</v>
      </c>
      <c r="C22" s="3" t="s">
        <v>34</v>
      </c>
      <c r="D22" s="22">
        <f>'Indicadores y valoración'!E23</f>
        <v>3</v>
      </c>
      <c r="E22" s="28">
        <f>'Medición de indicadores'!D22*'Medición de indicadores'!$U22+'Medición de indicadores'!$V22</f>
        <v>0</v>
      </c>
      <c r="F22" s="28">
        <f>'Medición de indicadores'!E22*'Medición de indicadores'!$U22+'Medición de indicadores'!$V22</f>
        <v>0</v>
      </c>
      <c r="G22" s="28">
        <f>'Medición de indicadores'!F22*'Medición de indicadores'!$U22+'Medición de indicadores'!$V22</f>
        <v>0.93534482143799647</v>
      </c>
      <c r="H22" s="28">
        <f>'Medición de indicadores'!G22*'Medición de indicadores'!$U22+'Medición de indicadores'!$V22</f>
        <v>1.0000000000000004</v>
      </c>
      <c r="I22" s="28">
        <f>'Medición de indicadores'!H22*'Medición de indicadores'!$U22+'Medición de indicadores'!$V22</f>
        <v>0.93534482143799647</v>
      </c>
      <c r="J22" s="28">
        <f>'Medición de indicadores'!I22*'Medición de indicadores'!$U22+'Medición de indicadores'!$V22</f>
        <v>1.0000000000000004</v>
      </c>
      <c r="K22" s="28">
        <f>'Medición de indicadores'!J22*'Medición de indicadores'!$U22+'Medición de indicadores'!$V22</f>
        <v>0.87001496277848389</v>
      </c>
      <c r="L22" s="28">
        <f>'Medición de indicadores'!K22*'Medición de indicadores'!$U22+'Medición de indicadores'!$V22</f>
        <v>0.97332802718119238</v>
      </c>
      <c r="M22" s="28">
        <f>'Medición de indicadores'!L22*'Medición de indicadores'!$U22+'Medición de indicadores'!$V22</f>
        <v>0.87001496277848389</v>
      </c>
      <c r="N22" s="28">
        <f>'Medición de indicadores'!M22*'Medición de indicadores'!$U22+'Medición de indicadores'!$V22</f>
        <v>0.97332802718119238</v>
      </c>
      <c r="O22" s="28">
        <f>'Medición de indicadores'!N22*'Medición de indicadores'!$U22+'Medición de indicadores'!$V22</f>
        <v>0.74581962220767339</v>
      </c>
      <c r="P22" s="28">
        <f>'Medición de indicadores'!O22*'Medición de indicadores'!$U22+'Medición de indicadores'!$V22</f>
        <v>0.84913411299536623</v>
      </c>
      <c r="Q22" s="28">
        <f>'Medición de indicadores'!P22*'Medición de indicadores'!$U22+'Medición de indicadores'!$V22</f>
        <v>0.74581962220767339</v>
      </c>
      <c r="R22" s="28">
        <f>'Medición de indicadores'!Q22*'Medición de indicadores'!$U22+'Medición de indicadores'!$V22</f>
        <v>0.84913411299536623</v>
      </c>
    </row>
    <row r="23" spans="1:18" x14ac:dyDescent="0.25">
      <c r="A23" s="196"/>
      <c r="B23" s="168"/>
      <c r="C23" s="4" t="s">
        <v>35</v>
      </c>
      <c r="D23" s="20">
        <f>'Indicadores y valoración'!E24</f>
        <v>4</v>
      </c>
      <c r="E23" s="26">
        <f>'Medición de indicadores'!D23*'Medición de indicadores'!$U23+'Medición de indicadores'!$V23</f>
        <v>0.72552060601331769</v>
      </c>
      <c r="F23" s="26">
        <f>'Medición de indicadores'!E23*'Medición de indicadores'!$U23+'Medición de indicadores'!$V23</f>
        <v>0.99999999999999956</v>
      </c>
      <c r="G23" s="26">
        <f>'Medición de indicadores'!F23*'Medición de indicadores'!$U23+'Medición de indicadores'!$V23</f>
        <v>0.16615800320879393</v>
      </c>
      <c r="H23" s="26">
        <f>'Medición de indicadores'!G23*'Medición de indicadores'!$U23+'Medición de indicadores'!$V23</f>
        <v>0.19422084959877894</v>
      </c>
      <c r="I23" s="26">
        <f>'Medición de indicadores'!H23*'Medición de indicadores'!$U23+'Medición de indicadores'!$V23</f>
        <v>0.49104963632861454</v>
      </c>
      <c r="J23" s="26">
        <f>'Medición de indicadores'!I23*'Medición de indicadores'!$U23+'Medición de indicadores'!$V23</f>
        <v>0.51560675090155828</v>
      </c>
      <c r="K23" s="26">
        <f>'Medición de indicadores'!J23*'Medición de indicadores'!$U23+'Medición de indicadores'!$V23</f>
        <v>0.16240470846550892</v>
      </c>
      <c r="L23" s="26">
        <f>'Medición de indicadores'!K23*'Medición de indicadores'!$U23+'Medición de indicadores'!$V23</f>
        <v>0.18636962264978996</v>
      </c>
      <c r="M23" s="26">
        <f>'Medición de indicadores'!L23*'Medición de indicadores'!$U23+'Medición de indicadores'!$V23</f>
        <v>0.59862209020220725</v>
      </c>
      <c r="N23" s="26">
        <f>'Medición de indicadores'!M23*'Medición de indicadores'!$U23+'Medición de indicadores'!$V23</f>
        <v>0.5974704539857556</v>
      </c>
      <c r="O23" s="26">
        <f>'Medición de indicadores'!N23*'Medición de indicadores'!$U23+'Medición de indicadores'!$V23</f>
        <v>0</v>
      </c>
      <c r="P23" s="26">
        <f>'Medición de indicadores'!O23*'Medición de indicadores'!$U23+'Medición de indicadores'!$V23</f>
        <v>2.9691549852117749E-2</v>
      </c>
      <c r="Q23" s="26">
        <f>'Medición de indicadores'!P23*'Medición de indicadores'!$U23+'Medición de indicadores'!$V23</f>
        <v>0.52776834632537106</v>
      </c>
      <c r="R23" s="26">
        <f>'Medición de indicadores'!Q23*'Medición de indicadores'!$U23+'Medición de indicadores'!$V23</f>
        <v>0.55969939201166508</v>
      </c>
    </row>
    <row r="24" spans="1:18" ht="13.8" thickBot="1" x14ac:dyDescent="0.3">
      <c r="A24" s="196"/>
      <c r="B24" s="198"/>
      <c r="C24" s="5" t="s">
        <v>36</v>
      </c>
      <c r="D24" s="21">
        <f>'Indicadores y valoración'!E25</f>
        <v>3</v>
      </c>
      <c r="E24" s="44">
        <f>'Medición de indicadores'!D24*'Medición de indicadores'!$U24+'Medición de indicadores'!$V24</f>
        <v>0</v>
      </c>
      <c r="F24" s="44">
        <f>'Medición de indicadores'!E24*'Medición de indicadores'!$U24+'Medición de indicadores'!$V24</f>
        <v>0</v>
      </c>
      <c r="G24" s="44">
        <f>'Medición de indicadores'!F24*'Medición de indicadores'!$U24+'Medición de indicadores'!$V24</f>
        <v>0.84045319048793132</v>
      </c>
      <c r="H24" s="44">
        <f>'Medición de indicadores'!G24*'Medición de indicadores'!$U24+'Medición de indicadores'!$V24</f>
        <v>0.76386242911894442</v>
      </c>
      <c r="I24" s="44">
        <f>'Medición de indicadores'!H24*'Medición de indicadores'!$U24+'Medición de indicadores'!$V24</f>
        <v>0.84045319048793132</v>
      </c>
      <c r="J24" s="44">
        <f>'Medición de indicadores'!I24*'Medición de indicadores'!$U24+'Medición de indicadores'!$V24</f>
        <v>0.76386242911894442</v>
      </c>
      <c r="K24" s="44">
        <f>'Medición de indicadores'!J24*'Medición de indicadores'!$U24+'Medición de indicadores'!$V24</f>
        <v>0.25667346527108492</v>
      </c>
      <c r="L24" s="44">
        <f>'Medición de indicadores'!K24*'Medición de indicadores'!$U24+'Medición de indicadores'!$V24</f>
        <v>0.18008270390209979</v>
      </c>
      <c r="M24" s="44">
        <f>'Medición de indicadores'!L24*'Medición de indicadores'!$U24+'Medición de indicadores'!$V24</f>
        <v>0.25667346527108492</v>
      </c>
      <c r="N24" s="44">
        <f>'Medición de indicadores'!M24*'Medición de indicadores'!$U24+'Medición de indicadores'!$V24</f>
        <v>0.18008270390209979</v>
      </c>
      <c r="O24" s="44">
        <f>'Medición de indicadores'!N24*'Medición de indicadores'!$U24+'Medición de indicadores'!$V24</f>
        <v>1</v>
      </c>
      <c r="P24" s="44">
        <f>'Medición de indicadores'!O24*'Medición de indicadores'!$U24+'Medición de indicadores'!$V24</f>
        <v>0.93731089046775828</v>
      </c>
      <c r="Q24" s="44">
        <f>'Medición de indicadores'!P24*'Medición de indicadores'!$U24+'Medición de indicadores'!$V24</f>
        <v>1</v>
      </c>
      <c r="R24" s="44">
        <f>'Medición de indicadores'!Q24*'Medición de indicadores'!$U24+'Medición de indicadores'!$V24</f>
        <v>0.93731089046775828</v>
      </c>
    </row>
    <row r="25" spans="1:18" ht="13.8" thickBot="1" x14ac:dyDescent="0.3">
      <c r="A25" s="196"/>
      <c r="B25" s="91" t="s">
        <v>16</v>
      </c>
      <c r="C25" s="3" t="s">
        <v>84</v>
      </c>
      <c r="D25" s="22">
        <f>'Indicadores y valoración'!E26</f>
        <v>10</v>
      </c>
      <c r="E25" s="49">
        <f>'Medición de indicadores'!D25*'Medición de indicadores'!$U25+'Medición de indicadores'!$V25</f>
        <v>0.62745098039215685</v>
      </c>
      <c r="F25" s="49">
        <f>'Medición de indicadores'!E25*'Medición de indicadores'!$U25+'Medición de indicadores'!$V25</f>
        <v>0.62745098039215685</v>
      </c>
      <c r="G25" s="49">
        <f>'Medición de indicadores'!F25*'Medición de indicadores'!$U25+'Medición de indicadores'!$V25</f>
        <v>0.11764705882352935</v>
      </c>
      <c r="H25" s="49">
        <f>'Medición de indicadores'!G25*'Medición de indicadores'!$U25+'Medición de indicadores'!$V25</f>
        <v>0.56862745098039214</v>
      </c>
      <c r="I25" s="49">
        <f>'Medición de indicadores'!H25*'Medición de indicadores'!$U25+'Medición de indicadores'!$V25</f>
        <v>0.11764705882352935</v>
      </c>
      <c r="J25" s="49">
        <f>'Medición de indicadores'!I25*'Medición de indicadores'!$U25+'Medición de indicadores'!$V25</f>
        <v>0.56862745098039214</v>
      </c>
      <c r="K25" s="49">
        <f>'Medición de indicadores'!J25*'Medición de indicadores'!$U25+'Medición de indicadores'!$V25</f>
        <v>0.74509803921568629</v>
      </c>
      <c r="L25" s="49">
        <f>'Medición de indicadores'!K25*'Medición de indicadores'!$U25+'Medición de indicadores'!$V25</f>
        <v>1</v>
      </c>
      <c r="M25" s="49">
        <f>'Medición de indicadores'!L25*'Medición de indicadores'!$U25+'Medición de indicadores'!$V25</f>
        <v>0.74509803921568629</v>
      </c>
      <c r="N25" s="49">
        <f>'Medición de indicadores'!M25*'Medición de indicadores'!$U25+'Medición de indicadores'!$V25</f>
        <v>1</v>
      </c>
      <c r="O25" s="49">
        <f>'Medición de indicadores'!N25*'Medición de indicadores'!$U25+'Medición de indicadores'!$V25</f>
        <v>-7.6327832942979512E-17</v>
      </c>
      <c r="P25" s="49">
        <f>'Medición de indicadores'!O25*'Medición de indicadores'!$U25+'Medición de indicadores'!$V25</f>
        <v>0.3529411764705882</v>
      </c>
      <c r="Q25" s="49">
        <f>'Medición de indicadores'!P25*'Medición de indicadores'!$U25+'Medición de indicadores'!$V25</f>
        <v>-7.6327832942979512E-17</v>
      </c>
      <c r="R25" s="49">
        <f>'Medición de indicadores'!Q25*'Medición de indicadores'!$U25+'Medición de indicadores'!$V25</f>
        <v>0.3529411764705882</v>
      </c>
    </row>
    <row r="26" spans="1:18" ht="13.8" thickBot="1" x14ac:dyDescent="0.3">
      <c r="A26" s="196"/>
      <c r="B26" s="115" t="s">
        <v>17</v>
      </c>
      <c r="C26" s="3" t="s">
        <v>73</v>
      </c>
      <c r="D26" s="22">
        <f>'Indicadores y valoración'!E27</f>
        <v>10</v>
      </c>
      <c r="E26" s="51">
        <f>'Medición de indicadores'!D26*'Medición de indicadores'!$U26+'Medición de indicadores'!$V26</f>
        <v>1</v>
      </c>
      <c r="F26" s="51">
        <f>'Medición de indicadores'!E26*'Medición de indicadores'!$U26+'Medición de indicadores'!$V26</f>
        <v>1</v>
      </c>
      <c r="G26" s="51">
        <f>'Medición de indicadores'!F26*'Medición de indicadores'!$U26+'Medición de indicadores'!$V26</f>
        <v>0</v>
      </c>
      <c r="H26" s="51">
        <f>'Medición de indicadores'!G26*'Medición de indicadores'!$U26+'Medición de indicadores'!$V26</f>
        <v>0</v>
      </c>
      <c r="I26" s="51">
        <f>'Medición de indicadores'!H26*'Medición de indicadores'!$U26+'Medición de indicadores'!$V26</f>
        <v>0</v>
      </c>
      <c r="J26" s="51">
        <f>'Medición de indicadores'!I26*'Medición de indicadores'!$U26+'Medición de indicadores'!$V26</f>
        <v>0</v>
      </c>
      <c r="K26" s="51">
        <f>'Medición de indicadores'!J26*'Medición de indicadores'!$U26+'Medición de indicadores'!$V26</f>
        <v>1</v>
      </c>
      <c r="L26" s="51">
        <f>'Medición de indicadores'!K26*'Medición de indicadores'!$U26+'Medición de indicadores'!$V26</f>
        <v>1</v>
      </c>
      <c r="M26" s="51">
        <f>'Medición de indicadores'!L26*'Medición de indicadores'!$U26+'Medición de indicadores'!$V26</f>
        <v>1</v>
      </c>
      <c r="N26" s="51">
        <f>'Medición de indicadores'!M26*'Medición de indicadores'!$U26+'Medición de indicadores'!$V26</f>
        <v>1</v>
      </c>
      <c r="O26" s="51">
        <f>'Medición de indicadores'!N26*'Medición de indicadores'!$U26+'Medición de indicadores'!$V26</f>
        <v>1</v>
      </c>
      <c r="P26" s="51">
        <f>'Medición de indicadores'!O26*'Medición de indicadores'!$U26+'Medición de indicadores'!$V26</f>
        <v>1</v>
      </c>
      <c r="Q26" s="51">
        <f>'Medición de indicadores'!P26*'Medición de indicadores'!$U26+'Medición de indicadores'!$V26</f>
        <v>1</v>
      </c>
      <c r="R26" s="51">
        <f>'Medición de indicadores'!Q26*'Medición de indicadores'!$U26+'Medición de indicadores'!$V26</f>
        <v>1</v>
      </c>
    </row>
    <row r="27" spans="1:18" ht="14.4" customHeight="1" thickTop="1" thickBot="1" x14ac:dyDescent="0.3">
      <c r="A27" s="214" t="s">
        <v>18</v>
      </c>
      <c r="B27" s="181" t="s">
        <v>19</v>
      </c>
      <c r="C27" s="7" t="s">
        <v>75</v>
      </c>
      <c r="D27" s="19">
        <f>'Indicadores y valoración'!E28</f>
        <v>3</v>
      </c>
      <c r="E27" s="49">
        <f>'Medición de indicadores'!D27*'Medición de indicadores'!$U27+'Medición de indicadores'!$V27</f>
        <v>0.39393939393939359</v>
      </c>
      <c r="F27" s="49">
        <f>'Medición de indicadores'!E27*'Medición de indicadores'!$U27+'Medición de indicadores'!$V27</f>
        <v>0.39393939393939359</v>
      </c>
      <c r="G27" s="49">
        <f>'Medición de indicadores'!F27*'Medición de indicadores'!$U27+'Medición de indicadores'!$V27</f>
        <v>0.57575757575757525</v>
      </c>
      <c r="H27" s="49">
        <f>'Medición de indicadores'!G27*'Medición de indicadores'!$U27+'Medición de indicadores'!$V27</f>
        <v>1</v>
      </c>
      <c r="I27" s="49">
        <f>'Medición de indicadores'!H27*'Medición de indicadores'!$U27+'Medición de indicadores'!$V27</f>
        <v>0.57575757575757525</v>
      </c>
      <c r="J27" s="49">
        <f>'Medición de indicadores'!I27*'Medición de indicadores'!$U27+'Medición de indicadores'!$V27</f>
        <v>1</v>
      </c>
      <c r="K27" s="49">
        <f>'Medición de indicadores'!J27*'Medición de indicadores'!$U27+'Medición de indicadores'!$V27</f>
        <v>0</v>
      </c>
      <c r="L27" s="49">
        <f>'Medición de indicadores'!K27*'Medición de indicadores'!$U27+'Medición de indicadores'!$V27</f>
        <v>0.42424242424242387</v>
      </c>
      <c r="M27" s="49">
        <f>'Medición de indicadores'!L27*'Medición de indicadores'!$U27+'Medición de indicadores'!$V27</f>
        <v>0</v>
      </c>
      <c r="N27" s="49">
        <f>'Medición de indicadores'!M27*'Medición de indicadores'!$U27+'Medición de indicadores'!$V27</f>
        <v>0.42424242424242387</v>
      </c>
      <c r="O27" s="49">
        <f>'Medición de indicadores'!N27*'Medición de indicadores'!$U27+'Medición de indicadores'!$V27</f>
        <v>0.33333333333333304</v>
      </c>
      <c r="P27" s="49">
        <f>'Medición de indicadores'!O27*'Medición de indicadores'!$U27+'Medición de indicadores'!$V27</f>
        <v>0.7575757575757569</v>
      </c>
      <c r="Q27" s="49">
        <f>'Medición de indicadores'!P27*'Medición de indicadores'!$U27+'Medición de indicadores'!$V27</f>
        <v>0.33333333333333304</v>
      </c>
      <c r="R27" s="49">
        <f>'Medición de indicadores'!Q27*'Medición de indicadores'!$U27+'Medición de indicadores'!$V27</f>
        <v>0.7575757575757569</v>
      </c>
    </row>
    <row r="28" spans="1:18" ht="13.95" customHeight="1" thickBot="1" x14ac:dyDescent="0.3">
      <c r="A28" s="215"/>
      <c r="B28" s="210"/>
      <c r="C28" s="50" t="s">
        <v>76</v>
      </c>
      <c r="D28" s="20">
        <f>'Indicadores y valoración'!E29</f>
        <v>2</v>
      </c>
      <c r="E28" s="27">
        <f>'Medición de indicadores'!D28*'Medición de indicadores'!$U28+'Medición de indicadores'!$V28</f>
        <v>0.21955801104972394</v>
      </c>
      <c r="F28" s="27">
        <f>'Medición de indicadores'!E28*'Medición de indicadores'!$U28+'Medición de indicadores'!$V28</f>
        <v>0.21955801104972394</v>
      </c>
      <c r="G28" s="27">
        <f>'Medición de indicadores'!F28*'Medición de indicadores'!$U28+'Medición de indicadores'!$V28</f>
        <v>0.57049723756906134</v>
      </c>
      <c r="H28" s="27">
        <f>'Medición de indicadores'!G28*'Medición de indicadores'!$U28+'Medición de indicadores'!$V28</f>
        <v>1.0000000000000004</v>
      </c>
      <c r="I28" s="27">
        <f>'Medición de indicadores'!H28*'Medición de indicadores'!$U28+'Medición de indicadores'!$V28</f>
        <v>0.57049723756906134</v>
      </c>
      <c r="J28" s="27">
        <f>'Medición de indicadores'!I28*'Medición de indicadores'!$U28+'Medición de indicadores'!$V28</f>
        <v>1.0000000000000004</v>
      </c>
      <c r="K28" s="27">
        <f>'Medición de indicadores'!J28*'Medición de indicadores'!$U28+'Medición de indicadores'!$V28</f>
        <v>0.19546961325966894</v>
      </c>
      <c r="L28" s="27">
        <f>'Medición de indicadores'!K28*'Medición de indicadores'!$U28+'Medición de indicadores'!$V28</f>
        <v>0.62497237569060848</v>
      </c>
      <c r="M28" s="27">
        <f>'Medición de indicadores'!L28*'Medición de indicadores'!$U28+'Medición de indicadores'!$V28</f>
        <v>0.19546961325966894</v>
      </c>
      <c r="N28" s="27">
        <f>'Medición de indicadores'!M28*'Medición de indicadores'!$U28+'Medición de indicadores'!$V28</f>
        <v>0.62497237569060848</v>
      </c>
      <c r="O28" s="27">
        <f>'Medición de indicadores'!N28*'Medición de indicadores'!$U28+'Medición de indicadores'!$V28</f>
        <v>0</v>
      </c>
      <c r="P28" s="27">
        <f>'Medición de indicadores'!O28*'Medición de indicadores'!$U28+'Medición de indicadores'!$V28</f>
        <v>0.42950276243093999</v>
      </c>
      <c r="Q28" s="27">
        <f>'Medición de indicadores'!P28*'Medición de indicadores'!$U28+'Medición de indicadores'!$V28</f>
        <v>0</v>
      </c>
      <c r="R28" s="27">
        <f>'Medición de indicadores'!Q28*'Medición de indicadores'!$U28+'Medición de indicadores'!$V28</f>
        <v>0.42950276243093999</v>
      </c>
    </row>
    <row r="29" spans="1:18" ht="13.8" thickBot="1" x14ac:dyDescent="0.3">
      <c r="A29" s="215"/>
      <c r="B29" s="182"/>
      <c r="C29" s="4" t="s">
        <v>77</v>
      </c>
      <c r="D29" s="20">
        <f>'Indicadores y valoración'!E30</f>
        <v>3</v>
      </c>
      <c r="E29" s="27">
        <f>'Medición de indicadores'!D29*'Medición de indicadores'!$U29+'Medición de indicadores'!$V29</f>
        <v>0.62433862433862508</v>
      </c>
      <c r="F29" s="27">
        <f>'Medición de indicadores'!E29*'Medición de indicadores'!$U29+'Medición de indicadores'!$V29</f>
        <v>0.62433862433862508</v>
      </c>
      <c r="G29" s="27">
        <f>'Medición de indicadores'!F29*'Medición de indicadores'!$U29+'Medición de indicadores'!$V29</f>
        <v>0.67195767195767253</v>
      </c>
      <c r="H29" s="27">
        <f>'Medición de indicadores'!G29*'Medición de indicadores'!$U29+'Medición de indicadores'!$V29</f>
        <v>1</v>
      </c>
      <c r="I29" s="27">
        <f>'Medición de indicadores'!H29*'Medición de indicadores'!$U29+'Medición de indicadores'!$V29</f>
        <v>0.67195767195767253</v>
      </c>
      <c r="J29" s="27">
        <f>'Medición de indicadores'!I29*'Medición de indicadores'!$U29+'Medición de indicadores'!$V29</f>
        <v>1</v>
      </c>
      <c r="K29" s="27">
        <f>'Medición de indicadores'!J29*'Medición de indicadores'!$U29+'Medición de indicadores'!$V29</f>
        <v>0.21164021164021207</v>
      </c>
      <c r="L29" s="27">
        <f>'Medición de indicadores'!K29*'Medición de indicadores'!$U29+'Medición de indicadores'!$V29</f>
        <v>0.53968253968254043</v>
      </c>
      <c r="M29" s="27">
        <f>'Medición de indicadores'!L29*'Medición de indicadores'!$U29+'Medición de indicadores'!$V29</f>
        <v>0.21164021164021207</v>
      </c>
      <c r="N29" s="27">
        <f>'Medición de indicadores'!M29*'Medición de indicadores'!$U29+'Medición de indicadores'!$V29</f>
        <v>0.53968253968254043</v>
      </c>
      <c r="O29" s="27">
        <f>'Medición de indicadores'!N29*'Medición de indicadores'!$U29+'Medición de indicadores'!$V29</f>
        <v>0</v>
      </c>
      <c r="P29" s="27">
        <f>'Medición de indicadores'!O29*'Medición de indicadores'!$U29+'Medición de indicadores'!$V29</f>
        <v>0.32804232804232836</v>
      </c>
      <c r="Q29" s="27">
        <f>'Medición de indicadores'!P29*'Medición de indicadores'!$U29+'Medición de indicadores'!$V29</f>
        <v>0</v>
      </c>
      <c r="R29" s="27">
        <f>'Medición de indicadores'!Q29*'Medición de indicadores'!$U29+'Medición de indicadores'!$V29</f>
        <v>0.32804232804232836</v>
      </c>
    </row>
    <row r="30" spans="1:18" ht="13.8" thickBot="1" x14ac:dyDescent="0.3">
      <c r="A30" s="215"/>
      <c r="B30" s="182"/>
      <c r="C30" s="5" t="s">
        <v>22</v>
      </c>
      <c r="D30" s="21">
        <f>'Indicadores y valoración'!E31</f>
        <v>2</v>
      </c>
      <c r="E30" s="27">
        <f>'Medición de indicadores'!D30*'Medición de indicadores'!$U30+'Medición de indicadores'!$V30</f>
        <v>0.99999999999999978</v>
      </c>
      <c r="F30" s="27">
        <f>'Medición de indicadores'!E30*'Medición de indicadores'!$U30+'Medición de indicadores'!$V30</f>
        <v>0.99999999999999978</v>
      </c>
      <c r="G30" s="27">
        <f>'Medición de indicadores'!F30*'Medición de indicadores'!$U30+'Medición de indicadores'!$V30</f>
        <v>0</v>
      </c>
      <c r="H30" s="27">
        <f>'Medición de indicadores'!G30*'Medición de indicadores'!$U30+'Medición de indicadores'!$V30</f>
        <v>0.19999999999999973</v>
      </c>
      <c r="I30" s="27">
        <f>'Medición de indicadores'!H30*'Medición de indicadores'!$U30+'Medición de indicadores'!$V30</f>
        <v>0</v>
      </c>
      <c r="J30" s="27">
        <f>'Medición de indicadores'!I30*'Medición de indicadores'!$U30+'Medición de indicadores'!$V30</f>
        <v>0.19999999999999973</v>
      </c>
      <c r="K30" s="27">
        <f>'Medición de indicadores'!J30*'Medición de indicadores'!$U30+'Medición de indicadores'!$V30</f>
        <v>0.39999999999999991</v>
      </c>
      <c r="L30" s="27">
        <f>'Medición de indicadores'!K30*'Medición de indicadores'!$U30+'Medición de indicadores'!$V30</f>
        <v>0.59999999999999987</v>
      </c>
      <c r="M30" s="27">
        <f>'Medición de indicadores'!L30*'Medición de indicadores'!$U30+'Medición de indicadores'!$V30</f>
        <v>0.39999999999999991</v>
      </c>
      <c r="N30" s="27">
        <f>'Medición de indicadores'!M30*'Medición de indicadores'!$U30+'Medición de indicadores'!$V30</f>
        <v>0.59999999999999987</v>
      </c>
      <c r="O30" s="27">
        <f>'Medición de indicadores'!N30*'Medición de indicadores'!$U30+'Medición de indicadores'!$V30</f>
        <v>0.39999999999999991</v>
      </c>
      <c r="P30" s="27">
        <f>'Medición de indicadores'!O30*'Medición de indicadores'!$U30+'Medición de indicadores'!$V30</f>
        <v>0.59999999999999987</v>
      </c>
      <c r="Q30" s="27">
        <f>'Medición de indicadores'!P30*'Medición de indicadores'!$U30+'Medición de indicadores'!$V30</f>
        <v>0.39999999999999991</v>
      </c>
      <c r="R30" s="27">
        <f>'Medición de indicadores'!Q30*'Medición de indicadores'!$U30+'Medición de indicadores'!$V30</f>
        <v>0.59999999999999987</v>
      </c>
    </row>
    <row r="31" spans="1:18" ht="13.8" thickBot="1" x14ac:dyDescent="0.3">
      <c r="A31" s="215"/>
      <c r="B31" s="183" t="s">
        <v>20</v>
      </c>
      <c r="C31" s="3" t="s">
        <v>63</v>
      </c>
      <c r="D31" s="22">
        <f>'Indicadores y valoración'!E32</f>
        <v>2.5</v>
      </c>
      <c r="E31" s="51">
        <f>'Medición de indicadores'!D31*'Medición de indicadores'!$U31+'Medición de indicadores'!$V31</f>
        <v>1.0000000000000002</v>
      </c>
      <c r="F31" s="51">
        <f>'Medición de indicadores'!E31*'Medición de indicadores'!$U31+'Medición de indicadores'!$V31</f>
        <v>1.0000000000000002</v>
      </c>
      <c r="G31" s="51">
        <f>'Medición de indicadores'!F31*'Medición de indicadores'!$U31+'Medición de indicadores'!$V31</f>
        <v>0</v>
      </c>
      <c r="H31" s="51">
        <f>'Medición de indicadores'!G31*'Medición de indicadores'!$U31+'Medición de indicadores'!$V31</f>
        <v>6.6037735849056922E-2</v>
      </c>
      <c r="I31" s="51">
        <f>'Medición de indicadores'!H31*'Medición de indicadores'!$U31+'Medición de indicadores'!$V31</f>
        <v>0</v>
      </c>
      <c r="J31" s="51">
        <f>'Medición de indicadores'!I31*'Medición de indicadores'!$U31+'Medición de indicadores'!$V31</f>
        <v>6.6037735849056922E-2</v>
      </c>
      <c r="K31" s="51">
        <f>'Medición de indicadores'!J31*'Medición de indicadores'!$U31+'Medición de indicadores'!$V31</f>
        <v>0.25471698113207575</v>
      </c>
      <c r="L31" s="51">
        <f>'Medición de indicadores'!K31*'Medición de indicadores'!$U31+'Medición de indicadores'!$V31</f>
        <v>0.32075471698113245</v>
      </c>
      <c r="M31" s="51">
        <f>'Medición de indicadores'!L31*'Medición de indicadores'!$U31+'Medición de indicadores'!$V31</f>
        <v>0.25471698113207575</v>
      </c>
      <c r="N31" s="51">
        <f>'Medición de indicadores'!M31*'Medición de indicadores'!$U31+'Medición de indicadores'!$V31</f>
        <v>0.32075471698113245</v>
      </c>
      <c r="O31" s="51">
        <f>'Medición de indicadores'!N31*'Medición de indicadores'!$U31+'Medición de indicadores'!$V31</f>
        <v>0.18396226415094352</v>
      </c>
      <c r="P31" s="51">
        <f>'Medición de indicadores'!O31*'Medición de indicadores'!$U31+'Medición de indicadores'!$V31</f>
        <v>0.29716981132075504</v>
      </c>
      <c r="Q31" s="51">
        <f>'Medición de indicadores'!P31*'Medición de indicadores'!$U31+'Medición de indicadores'!$V31</f>
        <v>0.18396226415094352</v>
      </c>
      <c r="R31" s="51">
        <f>'Medición de indicadores'!Q31*'Medición de indicadores'!$U31+'Medición de indicadores'!$V31</f>
        <v>0.29716981132075504</v>
      </c>
    </row>
    <row r="32" spans="1:18" ht="13.8" thickBot="1" x14ac:dyDescent="0.3">
      <c r="A32" s="215"/>
      <c r="B32" s="182"/>
      <c r="C32" s="4" t="s">
        <v>21</v>
      </c>
      <c r="D32" s="20">
        <f>'Indicadores y valoración'!E33</f>
        <v>1</v>
      </c>
      <c r="E32" s="27">
        <f>'Medición de indicadores'!D32*'Medición de indicadores'!$U32+'Medición de indicadores'!$V32</f>
        <v>1</v>
      </c>
      <c r="F32" s="27">
        <f>'Medición de indicadores'!E32*'Medición de indicadores'!$U32+'Medición de indicadores'!$V32</f>
        <v>1</v>
      </c>
      <c r="G32" s="27">
        <f>'Medición de indicadores'!F32*'Medición de indicadores'!$U32+'Medición de indicadores'!$V32</f>
        <v>0</v>
      </c>
      <c r="H32" s="27">
        <f>'Medición de indicadores'!G32*'Medición de indicadores'!$U32+'Medición de indicadores'!$V32</f>
        <v>7.8014184397163122E-2</v>
      </c>
      <c r="I32" s="27">
        <f>'Medición de indicadores'!H32*'Medición de indicadores'!$U32+'Medición de indicadores'!$V32</f>
        <v>0</v>
      </c>
      <c r="J32" s="27">
        <f>'Medición de indicadores'!I32*'Medición de indicadores'!$U32+'Medición de indicadores'!$V32</f>
        <v>7.8014184397163122E-2</v>
      </c>
      <c r="K32" s="27">
        <f>'Medición de indicadores'!J32*'Medición de indicadores'!$U32+'Medición de indicadores'!$V32</f>
        <v>6.2056737588652489E-2</v>
      </c>
      <c r="L32" s="27">
        <f>'Medición de indicadores'!K32*'Medición de indicadores'!$U32+'Medición de indicadores'!$V32</f>
        <v>0.14007092198581561</v>
      </c>
      <c r="M32" s="27">
        <f>'Medición de indicadores'!L32*'Medición de indicadores'!$U32+'Medición de indicadores'!$V32</f>
        <v>6.2056737588652489E-2</v>
      </c>
      <c r="N32" s="27">
        <f>'Medición de indicadores'!M32*'Medición de indicadores'!$U32+'Medición de indicadores'!$V32</f>
        <v>0.14007092198581561</v>
      </c>
      <c r="O32" s="27">
        <f>'Medición de indicadores'!N32*'Medición de indicadores'!$U32+'Medición de indicadores'!$V32</f>
        <v>0.26595744680851063</v>
      </c>
      <c r="P32" s="27">
        <f>'Medición de indicadores'!O32*'Medición de indicadores'!$U32+'Medición de indicadores'!$V32</f>
        <v>0.34397163120567376</v>
      </c>
      <c r="Q32" s="27">
        <f>'Medición de indicadores'!P32*'Medición de indicadores'!$U32+'Medición de indicadores'!$V32</f>
        <v>0.26595744680851063</v>
      </c>
      <c r="R32" s="27">
        <f>'Medición de indicadores'!Q32*'Medición de indicadores'!$U32+'Medición de indicadores'!$V32</f>
        <v>0.34397163120567376</v>
      </c>
    </row>
    <row r="33" spans="1:18" ht="13.8" thickBot="1" x14ac:dyDescent="0.3">
      <c r="A33" s="215"/>
      <c r="B33" s="182"/>
      <c r="C33" s="4" t="s">
        <v>23</v>
      </c>
      <c r="D33" s="20">
        <f>'Indicadores y valoración'!E34</f>
        <v>1</v>
      </c>
      <c r="E33" s="27">
        <f>'Medición de indicadores'!D33*'Medición de indicadores'!$U33+'Medición de indicadores'!$V33</f>
        <v>0.99999999999999978</v>
      </c>
      <c r="F33" s="27">
        <f>'Medición de indicadores'!E33*'Medición de indicadores'!$U33+'Medición de indicadores'!$V33</f>
        <v>0.99999999999999978</v>
      </c>
      <c r="G33" s="27">
        <f>'Medición de indicadores'!F33*'Medición de indicadores'!$U33+'Medición de indicadores'!$V33</f>
        <v>0.5681818181818179</v>
      </c>
      <c r="H33" s="27">
        <f>'Medición de indicadores'!G33*'Medición de indicadores'!$U33+'Medición de indicadores'!$V33</f>
        <v>0.77272727272727249</v>
      </c>
      <c r="I33" s="27">
        <f>'Medición de indicadores'!H33*'Medición de indicadores'!$U33+'Medición de indicadores'!$V33</f>
        <v>0.5681818181818179</v>
      </c>
      <c r="J33" s="27">
        <f>'Medición de indicadores'!I33*'Medición de indicadores'!$U33+'Medición de indicadores'!$V33</f>
        <v>0.77272727272727249</v>
      </c>
      <c r="K33" s="27">
        <f>'Medición de indicadores'!J33*'Medición de indicadores'!$U33+'Medición de indicadores'!$V33</f>
        <v>0.40909090909090895</v>
      </c>
      <c r="L33" s="27">
        <f>'Medición de indicadores'!K33*'Medición de indicadores'!$U33+'Medición de indicadores'!$V33</f>
        <v>0.61363636363636354</v>
      </c>
      <c r="M33" s="27">
        <f>'Medición de indicadores'!L33*'Medición de indicadores'!$U33+'Medición de indicadores'!$V33</f>
        <v>0.40909090909090895</v>
      </c>
      <c r="N33" s="27">
        <f>'Medición de indicadores'!M33*'Medición de indicadores'!$U33+'Medición de indicadores'!$V33</f>
        <v>0.61363636363636354</v>
      </c>
      <c r="O33" s="27">
        <f>'Medición de indicadores'!N33*'Medición de indicadores'!$U33+'Medición de indicadores'!$V33</f>
        <v>0</v>
      </c>
      <c r="P33" s="27">
        <f>'Medición de indicadores'!O33*'Medición de indicadores'!$U33+'Medición de indicadores'!$V33</f>
        <v>0.20454545454545436</v>
      </c>
      <c r="Q33" s="27">
        <f>'Medición de indicadores'!P33*'Medición de indicadores'!$U33+'Medición de indicadores'!$V33</f>
        <v>0</v>
      </c>
      <c r="R33" s="27">
        <f>'Medición de indicadores'!Q33*'Medición de indicadores'!$U33+'Medición de indicadores'!$V33</f>
        <v>0.20454545454545436</v>
      </c>
    </row>
    <row r="34" spans="1:18" ht="13.8" thickBot="1" x14ac:dyDescent="0.3">
      <c r="A34" s="215"/>
      <c r="B34" s="182"/>
      <c r="C34" s="4" t="s">
        <v>24</v>
      </c>
      <c r="D34" s="20">
        <f>'Indicadores y valoración'!E35</f>
        <v>2.5</v>
      </c>
      <c r="E34" s="27">
        <f>'Medición de indicadores'!D34*'Medición de indicadores'!$U34+'Medición de indicadores'!$V34</f>
        <v>1</v>
      </c>
      <c r="F34" s="27">
        <f>'Medición de indicadores'!E34*'Medición de indicadores'!$U34+'Medición de indicadores'!$V34</f>
        <v>1</v>
      </c>
      <c r="G34" s="27">
        <f>'Medición de indicadores'!F34*'Medición de indicadores'!$U34+'Medición de indicadores'!$V34</f>
        <v>0.70588235294117641</v>
      </c>
      <c r="H34" s="27">
        <f>'Medición de indicadores'!G34*'Medición de indicadores'!$U34+'Medición de indicadores'!$V34</f>
        <v>0.70588235294117641</v>
      </c>
      <c r="I34" s="27">
        <f>'Medición de indicadores'!H34*'Medición de indicadores'!$U34+'Medición de indicadores'!$V34</f>
        <v>0.70588235294117641</v>
      </c>
      <c r="J34" s="27">
        <f>'Medición de indicadores'!I34*'Medición de indicadores'!$U34+'Medición de indicadores'!$V34</f>
        <v>0.70588235294117641</v>
      </c>
      <c r="K34" s="27">
        <f>'Medición de indicadores'!J34*'Medición de indicadores'!$U34+'Medición de indicadores'!$V34</f>
        <v>0</v>
      </c>
      <c r="L34" s="27">
        <f>'Medición de indicadores'!K34*'Medición de indicadores'!$U34+'Medición de indicadores'!$V34</f>
        <v>0</v>
      </c>
      <c r="M34" s="27">
        <f>'Medición de indicadores'!L34*'Medición de indicadores'!$U34+'Medición de indicadores'!$V34</f>
        <v>0</v>
      </c>
      <c r="N34" s="27">
        <f>'Medición de indicadores'!M34*'Medición de indicadores'!$U34+'Medición de indicadores'!$V34</f>
        <v>0</v>
      </c>
      <c r="O34" s="27">
        <f>'Medición de indicadores'!N34*'Medición de indicadores'!$U34+'Medición de indicadores'!$V34</f>
        <v>0.76470588235294112</v>
      </c>
      <c r="P34" s="27">
        <f>'Medición de indicadores'!O34*'Medición de indicadores'!$U34+'Medición de indicadores'!$V34</f>
        <v>0.76470588235294112</v>
      </c>
      <c r="Q34" s="27">
        <f>'Medición de indicadores'!P34*'Medición de indicadores'!$U34+'Medición de indicadores'!$V34</f>
        <v>0.76470588235294112</v>
      </c>
      <c r="R34" s="27">
        <f>'Medición de indicadores'!Q34*'Medición de indicadores'!$U34+'Medición de indicadores'!$V34</f>
        <v>0.76470588235294112</v>
      </c>
    </row>
    <row r="35" spans="1:18" ht="13.8" thickBot="1" x14ac:dyDescent="0.3">
      <c r="A35" s="215"/>
      <c r="B35" s="213"/>
      <c r="C35" s="8" t="s">
        <v>78</v>
      </c>
      <c r="D35" s="21">
        <f>'Indicadores y valoración'!E36</f>
        <v>3</v>
      </c>
      <c r="E35" s="44">
        <f>'Medición de indicadores'!D35*'Medición de indicadores'!$U35+'Medición de indicadores'!$V35</f>
        <v>0.6363636363636358</v>
      </c>
      <c r="F35" s="44">
        <f>'Medición de indicadores'!E35*'Medición de indicadores'!$U35+'Medición de indicadores'!$V35</f>
        <v>0.6363636363636358</v>
      </c>
      <c r="G35" s="44">
        <f>'Medición de indicadores'!F35*'Medición de indicadores'!$U35+'Medición de indicadores'!$V35</f>
        <v>0.93939393939393945</v>
      </c>
      <c r="H35" s="44">
        <f>'Medición de indicadores'!G35*'Medición de indicadores'!$U35+'Medición de indicadores'!$V35</f>
        <v>1</v>
      </c>
      <c r="I35" s="44">
        <f>'Medición de indicadores'!H35*'Medición de indicadores'!$U35+'Medición de indicadores'!$V35</f>
        <v>0.93939393939393945</v>
      </c>
      <c r="J35" s="44">
        <f>'Medición de indicadores'!I35*'Medición de indicadores'!$U35+'Medición de indicadores'!$V35</f>
        <v>1</v>
      </c>
      <c r="K35" s="44">
        <f>'Medición de indicadores'!J35*'Medición de indicadores'!$U35+'Medición de indicadores'!$V35</f>
        <v>0.1212121212121211</v>
      </c>
      <c r="L35" s="44">
        <f>'Medición de indicadores'!K35*'Medición de indicadores'!$U35+'Medición de indicadores'!$V35</f>
        <v>0.18181818181818166</v>
      </c>
      <c r="M35" s="44">
        <f>'Medición de indicadores'!L35*'Medición de indicadores'!$U35+'Medición de indicadores'!$V35</f>
        <v>0.1212121212121211</v>
      </c>
      <c r="N35" s="44">
        <f>'Medición de indicadores'!M35*'Medición de indicadores'!$U35+'Medición de indicadores'!$V35</f>
        <v>0.18181818181818166</v>
      </c>
      <c r="O35" s="44">
        <f>'Medición de indicadores'!N35*'Medición de indicadores'!$U35+'Medición de indicadores'!$V35</f>
        <v>0</v>
      </c>
      <c r="P35" s="44">
        <f>'Medición de indicadores'!O35*'Medición de indicadores'!$U35+'Medición de indicadores'!$V35</f>
        <v>6.0606060606060552E-2</v>
      </c>
      <c r="Q35" s="44">
        <f>'Medición de indicadores'!P35*'Medición de indicadores'!$U35+'Medición de indicadores'!$V35</f>
        <v>0</v>
      </c>
      <c r="R35" s="44">
        <f>'Medición de indicadores'!Q35*'Medición de indicadores'!$U35+'Medición de indicadores'!$V35</f>
        <v>6.0606060606060552E-2</v>
      </c>
    </row>
    <row r="36" spans="1:18" ht="13.8" thickBot="1" x14ac:dyDescent="0.3">
      <c r="A36" s="216"/>
      <c r="B36" s="131" t="s">
        <v>97</v>
      </c>
      <c r="C36" s="134" t="s">
        <v>98</v>
      </c>
      <c r="D36" s="135">
        <f>'Indicadores y valoración'!E37</f>
        <v>10</v>
      </c>
      <c r="E36" s="49">
        <f>'Medición de indicadores'!D36*'Medición de indicadores'!$U36+'Medición de indicadores'!$V36</f>
        <v>0.96399198810354769</v>
      </c>
      <c r="F36" s="49">
        <f>'Medición de indicadores'!E36*'Medición de indicadores'!$U36+'Medición de indicadores'!$V36</f>
        <v>0.96399198810354769</v>
      </c>
      <c r="G36" s="49">
        <f>'Medición de indicadores'!F36*'Medición de indicadores'!$U36+'Medición de indicadores'!$V36</f>
        <v>0</v>
      </c>
      <c r="H36" s="49">
        <f>'Medición de indicadores'!G36*'Medición de indicadores'!$U36+'Medición de indicadores'!$V36</f>
        <v>0</v>
      </c>
      <c r="I36" s="49">
        <f>'Medición de indicadores'!H36*'Medición de indicadores'!$U36+'Medición de indicadores'!$V36</f>
        <v>0.48684410184819893</v>
      </c>
      <c r="J36" s="49">
        <f>'Medición de indicadores'!I36*'Medición de indicadores'!$U36+'Medición de indicadores'!$V36</f>
        <v>0.48684410184819893</v>
      </c>
      <c r="K36" s="49">
        <f>'Medición de indicadores'!J36*'Medición de indicadores'!$U36+'Medición de indicadores'!$V36</f>
        <v>0.87099025826226828</v>
      </c>
      <c r="L36" s="49">
        <f>'Medición de indicadores'!K36*'Medición de indicadores'!$U36+'Medición de indicadores'!$V36</f>
        <v>0.87099025826226828</v>
      </c>
      <c r="M36" s="49">
        <f>'Medición de indicadores'!L36*'Medición de indicadores'!$U36+'Medición de indicadores'!$V36</f>
        <v>0.91930442171709514</v>
      </c>
      <c r="N36" s="49">
        <f>'Medición de indicadores'!M36*'Medición de indicadores'!$U36+'Medición de indicadores'!$V36</f>
        <v>0.91930442171709514</v>
      </c>
      <c r="O36" s="49">
        <f>'Medición de indicadores'!N36*'Medición de indicadores'!$U36+'Medición de indicadores'!$V36</f>
        <v>0.95214105793450887</v>
      </c>
      <c r="P36" s="49">
        <f>'Medición de indicadores'!O36*'Medición de indicadores'!$U36+'Medición de indicadores'!$V36</f>
        <v>0.95214105793450887</v>
      </c>
      <c r="Q36" s="49">
        <f>'Medición de indicadores'!P36*'Medición de indicadores'!$U36+'Medición de indicadores'!$V36</f>
        <v>1</v>
      </c>
      <c r="R36" s="49">
        <f>'Medición de indicadores'!Q36*'Medición de indicadores'!$U36+'Medición de indicadores'!$V36</f>
        <v>1</v>
      </c>
    </row>
    <row r="37" spans="1:18" ht="13.5" customHeight="1" thickTop="1" x14ac:dyDescent="0.25">
      <c r="A37" s="151" t="s">
        <v>62</v>
      </c>
      <c r="B37" s="192"/>
      <c r="C37" s="121" t="s">
        <v>83</v>
      </c>
      <c r="D37" s="19">
        <f>'Indicadores y valoración'!E38</f>
        <v>6</v>
      </c>
      <c r="E37" s="53">
        <f>'Medición de indicadores'!D37*'Medición de indicadores'!$U37+'Medición de indicadores'!$V37</f>
        <v>0.8137237471766996</v>
      </c>
      <c r="F37" s="53">
        <f>'Medición de indicadores'!E37*'Medición de indicadores'!$U37+'Medición de indicadores'!$V37</f>
        <v>1</v>
      </c>
      <c r="G37" s="53">
        <f>'Medición de indicadores'!F37*'Medición de indicadores'!$U37+'Medición de indicadores'!$V37</f>
        <v>7.4114798979252328E-2</v>
      </c>
      <c r="H37" s="53">
        <f>'Medición de indicadores'!G37*'Medición de indicadores'!$U37+'Medición de indicadores'!$V37</f>
        <v>0.24089072493678287</v>
      </c>
      <c r="I37" s="53">
        <f>'Medición de indicadores'!H37*'Medición de indicadores'!$U37+'Medición de indicadores'!$V37</f>
        <v>0.32479640808584964</v>
      </c>
      <c r="J37" s="53">
        <f>'Medición de indicadores'!I37*'Medición de indicadores'!$U37+'Medición de indicadores'!$V37</f>
        <v>0.48762235252249031</v>
      </c>
      <c r="K37" s="53">
        <f>'Medición de indicadores'!J37*'Medición de indicadores'!$U37+'Medición de indicadores'!$V37</f>
        <v>1.9951021219353215E-2</v>
      </c>
      <c r="L37" s="53">
        <f>'Medición de indicadores'!K37*'Medición de indicadores'!$U37+'Medición de indicadores'!$V37</f>
        <v>0.18726047503392707</v>
      </c>
      <c r="M37" s="53">
        <f>'Medición de indicadores'!L37*'Medición de indicadores'!$U37+'Medición de indicadores'!$V37</f>
        <v>0.24181921457932898</v>
      </c>
      <c r="N37" s="53">
        <f>'Medición de indicadores'!M37*'Medición de indicadores'!$U37+'Medición de indicadores'!$V37</f>
        <v>0.41270774968661073</v>
      </c>
      <c r="O37" s="53">
        <f>'Medición de indicadores'!N37*'Medición de indicadores'!$U37+'Medición de indicadores'!$V37</f>
        <v>0</v>
      </c>
      <c r="P37" s="53">
        <f>'Medición de indicadores'!O37*'Medición de indicadores'!$U37+'Medición de indicadores'!$V37</f>
        <v>0.17403039449242552</v>
      </c>
      <c r="Q37" s="53">
        <f>'Medición de indicadores'!P37*'Medición de indicadores'!$U37+'Medición de indicadores'!$V37</f>
        <v>0.22298327747323565</v>
      </c>
      <c r="R37" s="53">
        <f>'Medición de indicadores'!Q37*'Medición de indicadores'!$U37+'Medición de indicadores'!$V37</f>
        <v>0.38278264016471297</v>
      </c>
    </row>
    <row r="38" spans="1:18" ht="13.5" customHeight="1" thickBot="1" x14ac:dyDescent="0.3">
      <c r="A38" s="193"/>
      <c r="B38" s="194"/>
      <c r="C38" s="6" t="s">
        <v>96</v>
      </c>
      <c r="D38" s="20">
        <f>'Indicadores y valoración'!E39</f>
        <v>4</v>
      </c>
      <c r="E38" s="26">
        <f>'Medición de indicadores'!D38*'Medición de indicadores'!$U38+'Medición de indicadores'!$V38</f>
        <v>1</v>
      </c>
      <c r="F38" s="26">
        <f>'Medición de indicadores'!E38*'Medición de indicadores'!$U38+'Medición de indicadores'!$V38</f>
        <v>1</v>
      </c>
      <c r="G38" s="26">
        <f>'Medición de indicadores'!F38*'Medición de indicadores'!$U38+'Medición de indicadores'!$V38</f>
        <v>0.17916137229987239</v>
      </c>
      <c r="H38" s="26">
        <f>'Medición de indicadores'!G38*'Medición de indicadores'!$U38+'Medición de indicadores'!$V38</f>
        <v>0.24904701397712792</v>
      </c>
      <c r="I38" s="26">
        <f>'Medición de indicadores'!H38*'Medición de indicadores'!$U38+'Medición de indicadores'!$V38</f>
        <v>0.17662007623888165</v>
      </c>
      <c r="J38" s="26">
        <f>'Medición de indicadores'!I38*'Medición de indicadores'!$U38+'Medición de indicadores'!$V38</f>
        <v>0.24523506988564137</v>
      </c>
      <c r="K38" s="26">
        <f>'Medición de indicadores'!J38*'Medición de indicadores'!$U38+'Medición de indicadores'!$V38</f>
        <v>5.0825921219823655E-3</v>
      </c>
      <c r="L38" s="26">
        <f>'Medición de indicadores'!K38*'Medición de indicadores'!$U38+'Medición de indicadores'!$V38</f>
        <v>6.3532401524777349E-2</v>
      </c>
      <c r="M38" s="26">
        <f>'Medición de indicadores'!L38*'Medición de indicadores'!$U38+'Medición de indicadores'!$V38</f>
        <v>0</v>
      </c>
      <c r="N38" s="26">
        <f>'Medición de indicadores'!M38*'Medición de indicadores'!$U38+'Medición de indicadores'!$V38</f>
        <v>6.8614993646760603E-2</v>
      </c>
      <c r="O38" s="26">
        <f>'Medición de indicadores'!N38*'Medición de indicadores'!$U38+'Medición de indicadores'!$V38</f>
        <v>1.0165184243964731E-2</v>
      </c>
      <c r="P38" s="26">
        <f>'Medición de indicadores'!O38*'Medición de indicadores'!$U38+'Medición de indicadores'!$V38</f>
        <v>8.0050825921219371E-2</v>
      </c>
      <c r="Q38" s="26">
        <f>'Medición de indicadores'!P38*'Medición de indicadores'!$U38+'Medición de indicadores'!$V38</f>
        <v>6.353240152478179E-3</v>
      </c>
      <c r="R38" s="26">
        <f>'Medición de indicadores'!Q38*'Medición de indicadores'!$U38+'Medición de indicadores'!$V38</f>
        <v>7.4968233799237893E-2</v>
      </c>
    </row>
    <row r="39" spans="1:18" ht="13.5" customHeight="1" thickTop="1" x14ac:dyDescent="0.25">
      <c r="A39" s="158" t="s">
        <v>58</v>
      </c>
      <c r="B39" s="219"/>
      <c r="C39" s="219"/>
      <c r="D39" s="219"/>
      <c r="E39" s="217">
        <f t="shared" ref="E39:R39" si="0">SUMPRODUCT($D$3:$D$38,E3:E38)</f>
        <v>119.88485575053564</v>
      </c>
      <c r="F39" s="217">
        <f t="shared" si="0"/>
        <v>117.877604926833</v>
      </c>
      <c r="G39" s="217">
        <f t="shared" si="0"/>
        <v>50.870590731766029</v>
      </c>
      <c r="H39" s="217">
        <f t="shared" si="0"/>
        <v>65.874607782569569</v>
      </c>
      <c r="I39" s="217">
        <f t="shared" si="0"/>
        <v>55.908844181292778</v>
      </c>
      <c r="J39" s="217">
        <f t="shared" si="0"/>
        <v>68.344469187005814</v>
      </c>
      <c r="K39" s="217">
        <f t="shared" si="0"/>
        <v>74.123744970140052</v>
      </c>
      <c r="L39" s="217">
        <f t="shared" si="0"/>
        <v>83.680961927508648</v>
      </c>
      <c r="M39" s="217">
        <f t="shared" si="0"/>
        <v>75.409625274193132</v>
      </c>
      <c r="N39" s="217">
        <f t="shared" si="0"/>
        <v>84.988952533921321</v>
      </c>
      <c r="O39" s="217">
        <f t="shared" si="0"/>
        <v>64.377636822218676</v>
      </c>
      <c r="P39" s="217">
        <f t="shared" si="0"/>
        <v>74.507776280441206</v>
      </c>
      <c r="Q39" s="217">
        <f t="shared" si="0"/>
        <v>60.249117579691791</v>
      </c>
      <c r="R39" s="217">
        <f t="shared" si="0"/>
        <v>74.513506014937349</v>
      </c>
    </row>
    <row r="40" spans="1:18" ht="13.8" thickBot="1" x14ac:dyDescent="0.3">
      <c r="A40" s="220"/>
      <c r="B40" s="221"/>
      <c r="C40" s="221"/>
      <c r="D40" s="221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</row>
    <row r="41" spans="1:18" ht="13.8" thickTop="1" x14ac:dyDescent="0.25">
      <c r="A41" s="48" t="s">
        <v>61</v>
      </c>
    </row>
    <row r="42" spans="1:18" ht="20.399999999999999" x14ac:dyDescent="0.35">
      <c r="C42" s="30" t="s">
        <v>46</v>
      </c>
      <c r="E42" t="str">
        <f t="shared" ref="E42:L42" si="1">IF(E39=MAX($E$39:$R$40),"X"," ")</f>
        <v>X</v>
      </c>
      <c r="F42" s="24" t="str">
        <f t="shared" si="1"/>
        <v xml:space="preserve"> </v>
      </c>
      <c r="G42" t="str">
        <f t="shared" si="1"/>
        <v xml:space="preserve"> </v>
      </c>
      <c r="H42" t="str">
        <f t="shared" si="1"/>
        <v xml:space="preserve"> </v>
      </c>
      <c r="I42" t="str">
        <f t="shared" si="1"/>
        <v xml:space="preserve"> </v>
      </c>
      <c r="J42" t="str">
        <f t="shared" si="1"/>
        <v xml:space="preserve"> </v>
      </c>
      <c r="K42" t="str">
        <f t="shared" si="1"/>
        <v xml:space="preserve"> </v>
      </c>
      <c r="L42" t="str">
        <f t="shared" si="1"/>
        <v xml:space="preserve"> </v>
      </c>
      <c r="M42" t="str">
        <f t="shared" ref="M42:R42" si="2">IF(M39=MAX($E$39:$R$40),"X"," ")</f>
        <v xml:space="preserve"> </v>
      </c>
      <c r="N42" t="str">
        <f t="shared" si="2"/>
        <v xml:space="preserve"> </v>
      </c>
      <c r="O42" t="str">
        <f t="shared" si="2"/>
        <v xml:space="preserve"> </v>
      </c>
      <c r="P42" t="str">
        <f t="shared" si="2"/>
        <v xml:space="preserve"> </v>
      </c>
      <c r="Q42" t="str">
        <f t="shared" si="2"/>
        <v xml:space="preserve"> </v>
      </c>
      <c r="R42" t="str">
        <f t="shared" si="2"/>
        <v xml:space="preserve"> </v>
      </c>
    </row>
  </sheetData>
  <mergeCells count="34">
    <mergeCell ref="K39:K40"/>
    <mergeCell ref="M39:M40"/>
    <mergeCell ref="N39:N40"/>
    <mergeCell ref="R39:R40"/>
    <mergeCell ref="A39:D40"/>
    <mergeCell ref="F39:F40"/>
    <mergeCell ref="G39:G40"/>
    <mergeCell ref="H39:H40"/>
    <mergeCell ref="Q39:Q40"/>
    <mergeCell ref="O39:O40"/>
    <mergeCell ref="L39:L40"/>
    <mergeCell ref="P39:P40"/>
    <mergeCell ref="J39:J40"/>
    <mergeCell ref="E39:E40"/>
    <mergeCell ref="I39:I40"/>
    <mergeCell ref="A37:B38"/>
    <mergeCell ref="B9:B10"/>
    <mergeCell ref="A9:A14"/>
    <mergeCell ref="B27:B30"/>
    <mergeCell ref="B11:B14"/>
    <mergeCell ref="A15:A18"/>
    <mergeCell ref="B31:B35"/>
    <mergeCell ref="B15:B18"/>
    <mergeCell ref="A19:A26"/>
    <mergeCell ref="B20:B21"/>
    <mergeCell ref="B22:B24"/>
    <mergeCell ref="A27:A36"/>
    <mergeCell ref="A6:B8"/>
    <mergeCell ref="A1:A2"/>
    <mergeCell ref="B1:B2"/>
    <mergeCell ref="E1:R1"/>
    <mergeCell ref="A3:A5"/>
    <mergeCell ref="B3:B4"/>
    <mergeCell ref="C1:D1"/>
  </mergeCells>
  <phoneticPr fontId="2" type="noConversion"/>
  <pageMargins left="0.75" right="0.75" top="1" bottom="1" header="0" footer="0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I2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3" sqref="E23"/>
    </sheetView>
  </sheetViews>
  <sheetFormatPr baseColWidth="10" defaultRowHeight="13.2" x14ac:dyDescent="0.25"/>
  <cols>
    <col min="1" max="1" width="26.88671875" customWidth="1"/>
    <col min="2" max="2" width="22.44140625" bestFit="1" customWidth="1"/>
    <col min="3" max="3" width="12" bestFit="1" customWidth="1"/>
    <col min="4" max="17" width="10.33203125" customWidth="1"/>
    <col min="18" max="50" width="11.44140625" style="10" customWidth="1"/>
  </cols>
  <sheetData>
    <row r="1" spans="1:61" ht="16.8" thickTop="1" thickBot="1" x14ac:dyDescent="0.3">
      <c r="A1" s="16" t="s">
        <v>25</v>
      </c>
      <c r="B1" s="161" t="s">
        <v>26</v>
      </c>
      <c r="C1" s="227"/>
      <c r="D1" s="156" t="s">
        <v>47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61" ht="16.8" thickTop="1" thickBot="1" x14ac:dyDescent="0.35">
      <c r="A2" s="36" t="s">
        <v>45</v>
      </c>
      <c r="B2" s="33" t="s">
        <v>45</v>
      </c>
      <c r="C2" s="32" t="s">
        <v>71</v>
      </c>
      <c r="D2" s="2" t="s">
        <v>88</v>
      </c>
      <c r="E2" s="2" t="s">
        <v>27</v>
      </c>
      <c r="F2" s="2" t="s">
        <v>89</v>
      </c>
      <c r="G2" s="2" t="s">
        <v>28</v>
      </c>
      <c r="H2" s="2" t="s">
        <v>29</v>
      </c>
      <c r="I2" s="2" t="s">
        <v>41</v>
      </c>
      <c r="J2" s="2" t="s">
        <v>90</v>
      </c>
      <c r="K2" s="2" t="s">
        <v>30</v>
      </c>
      <c r="L2" s="2" t="s">
        <v>31</v>
      </c>
      <c r="M2" s="2" t="s">
        <v>40</v>
      </c>
      <c r="N2" s="2" t="s">
        <v>91</v>
      </c>
      <c r="O2" s="2" t="s">
        <v>39</v>
      </c>
      <c r="P2" s="2" t="s">
        <v>92</v>
      </c>
      <c r="Q2" s="2" t="s">
        <v>93</v>
      </c>
    </row>
    <row r="3" spans="1:61" ht="13.5" customHeight="1" thickTop="1" thickBot="1" x14ac:dyDescent="0.3">
      <c r="A3" s="224" t="s">
        <v>0</v>
      </c>
      <c r="B3" s="37" t="s">
        <v>79</v>
      </c>
      <c r="C3" s="35">
        <v>0.4</v>
      </c>
      <c r="D3" s="31">
        <f>SUMPRODUCT('Puntuación nivel 1 sin ponderar'!$D3:$D4,'Puntuación nivel 1 sin ponderar'!E3:E4)</f>
        <v>10</v>
      </c>
      <c r="E3" s="31">
        <f>SUMPRODUCT('Puntuación nivel 1 sin ponderar'!$D3:$D4,'Puntuación nivel 1 sin ponderar'!F3:F4)</f>
        <v>2.8901203381325722</v>
      </c>
      <c r="F3" s="31">
        <f>SUMPRODUCT('Puntuación nivel 1 sin ponderar'!$D3:$D4,'Puntuación nivel 1 sin ponderar'!G3:G4)</f>
        <v>8.8888888888888893</v>
      </c>
      <c r="G3" s="31">
        <f>SUMPRODUCT('Puntuación nivel 1 sin ponderar'!$D3:$D4,'Puntuación nivel 1 sin ponderar'!H3:H4)</f>
        <v>7.7777777777777768</v>
      </c>
      <c r="H3" s="31">
        <f>SUMPRODUCT('Puntuación nivel 1 sin ponderar'!$D3:$D4,'Puntuación nivel 1 sin ponderar'!I3:I4)</f>
        <v>1.9608407017517999</v>
      </c>
      <c r="I3" s="31">
        <f>SUMPRODUCT('Puntuación nivel 1 sin ponderar'!$D3:$D4,'Puntuación nivel 1 sin ponderar'!J3:J4)</f>
        <v>1.4120686203382133</v>
      </c>
      <c r="J3" s="31">
        <f>SUMPRODUCT('Puntuación nivel 1 sin ponderar'!$D3:$D4,'Puntuación nivel 1 sin ponderar'!K3:K4)</f>
        <v>6.9444444444444446</v>
      </c>
      <c r="K3" s="31">
        <f>SUMPRODUCT('Puntuación nivel 1 sin ponderar'!$D3:$D4,'Puntuación nivel 1 sin ponderar'!L3:L4)</f>
        <v>6.1111111111111116</v>
      </c>
      <c r="L3" s="31">
        <f>SUMPRODUCT('Puntuación nivel 1 sin ponderar'!$D3:$D4,'Puntuación nivel 1 sin ponderar'!M3:M4)</f>
        <v>2.7777777777777768</v>
      </c>
      <c r="M3" s="31">
        <f>SUMPRODUCT('Puntuación nivel 1 sin ponderar'!$D3:$D4,'Puntuación nivel 1 sin ponderar'!N3:N4)</f>
        <v>1.3951818295716039</v>
      </c>
      <c r="N3" s="31">
        <f>SUMPRODUCT('Puntuación nivel 1 sin ponderar'!$D3:$D4,'Puntuación nivel 1 sin ponderar'!O3:O4)</f>
        <v>7.2222222222222214</v>
      </c>
      <c r="O3" s="31">
        <f>SUMPRODUCT('Puntuación nivel 1 sin ponderar'!$D3:$D4,'Puntuación nivel 1 sin ponderar'!P3:P4)</f>
        <v>5.8333333333333321</v>
      </c>
      <c r="P3" s="31">
        <f>SUMPRODUCT('Puntuación nivel 1 sin ponderar'!$D3:$D4,'Puntuación nivel 1 sin ponderar'!Q3:Q4)</f>
        <v>4.1920273895323934E-4</v>
      </c>
      <c r="Q3" s="31">
        <f>SUMPRODUCT('Puntuación nivel 1 sin ponderar'!$D3:$D4,'Puntuación nivel 1 sin ponderar'!R3:R4)</f>
        <v>0.84005499458848054</v>
      </c>
    </row>
    <row r="4" spans="1:61" ht="14.4" thickTop="1" thickBot="1" x14ac:dyDescent="0.3">
      <c r="A4" s="226"/>
      <c r="B4" s="39" t="s">
        <v>44</v>
      </c>
      <c r="C4" s="42">
        <v>0.6</v>
      </c>
      <c r="D4" s="31">
        <f>SUMPRODUCT('Puntuación nivel 1 sin ponderar'!$D5:$D5,'Puntuación nivel 1 sin ponderar'!E5:E5)</f>
        <v>10</v>
      </c>
      <c r="E4" s="31">
        <f>SUMPRODUCT('Puntuación nivel 1 sin ponderar'!$D5:$D5,'Puntuación nivel 1 sin ponderar'!F5:F5)</f>
        <v>9.541284403669728</v>
      </c>
      <c r="F4" s="31">
        <f>SUMPRODUCT('Puntuación nivel 1 sin ponderar'!$D5:$D5,'Puntuación nivel 1 sin ponderar'!G5:G5)</f>
        <v>4.03669724770642</v>
      </c>
      <c r="G4" s="31">
        <f>SUMPRODUCT('Puntuación nivel 1 sin ponderar'!$D5:$D5,'Puntuación nivel 1 sin ponderar'!H5:H5)</f>
        <v>3.853211009174311</v>
      </c>
      <c r="H4" s="31">
        <f>SUMPRODUCT('Puntuación nivel 1 sin ponderar'!$D5:$D5,'Puntuación nivel 1 sin ponderar'!I5:I5)</f>
        <v>3.4862385321100886</v>
      </c>
      <c r="I4" s="31">
        <f>SUMPRODUCT('Puntuación nivel 1 sin ponderar'!$D5:$D5,'Puntuación nivel 1 sin ponderar'!J5:J5)</f>
        <v>3.5963302752293558</v>
      </c>
      <c r="J4" s="31">
        <f>SUMPRODUCT('Puntuación nivel 1 sin ponderar'!$D5:$D5,'Puntuación nivel 1 sin ponderar'!K5:K5)</f>
        <v>3.6697247706421976</v>
      </c>
      <c r="K4" s="31">
        <f>SUMPRODUCT('Puntuación nivel 1 sin ponderar'!$D5:$D5,'Puntuación nivel 1 sin ponderar'!L5:L5)</f>
        <v>3.7614678899082543</v>
      </c>
      <c r="L4" s="31">
        <f>SUMPRODUCT('Puntuación nivel 1 sin ponderar'!$D5:$D5,'Puntuación nivel 1 sin ponderar'!M5:M5)</f>
        <v>3.5779816513761453</v>
      </c>
      <c r="M4" s="31">
        <f>SUMPRODUCT('Puntuación nivel 1 sin ponderar'!$D5:$D5,'Puntuación nivel 1 sin ponderar'!N5:N5)</f>
        <v>3.3394495412844005</v>
      </c>
      <c r="N4" s="31">
        <f>SUMPRODUCT('Puntuación nivel 1 sin ponderar'!$D5:$D5,'Puntuación nivel 1 sin ponderar'!O5:O5)</f>
        <v>2.3302752293577944</v>
      </c>
      <c r="O4" s="31">
        <f>SUMPRODUCT('Puntuación nivel 1 sin ponderar'!$D5:$D5,'Puntuación nivel 1 sin ponderar'!P5:P5)</f>
        <v>1.7431192660550421</v>
      </c>
      <c r="P4" s="31">
        <f>SUMPRODUCT('Puntuación nivel 1 sin ponderar'!$D5:$D5,'Puntuación nivel 1 sin ponderar'!Q5:Q5)</f>
        <v>0</v>
      </c>
      <c r="Q4" s="31">
        <f>SUMPRODUCT('Puntuación nivel 1 sin ponderar'!$D5:$D5,'Puntuación nivel 1 sin ponderar'!R5:R5)</f>
        <v>1.4311926605504555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9" t="s">
        <v>42</v>
      </c>
      <c r="AZ4" s="9" t="s">
        <v>42</v>
      </c>
      <c r="BA4" s="9" t="s">
        <v>42</v>
      </c>
      <c r="BB4" s="9" t="s">
        <v>42</v>
      </c>
      <c r="BC4" s="9" t="s">
        <v>42</v>
      </c>
      <c r="BD4" s="9" t="s">
        <v>42</v>
      </c>
      <c r="BE4" s="9" t="s">
        <v>42</v>
      </c>
      <c r="BF4" s="9" t="s">
        <v>42</v>
      </c>
      <c r="BG4" s="9" t="s">
        <v>42</v>
      </c>
      <c r="BH4" s="9" t="s">
        <v>42</v>
      </c>
      <c r="BI4" s="9" t="s">
        <v>42</v>
      </c>
    </row>
    <row r="5" spans="1:61" ht="14.25" customHeight="1" thickTop="1" thickBot="1" x14ac:dyDescent="0.3">
      <c r="A5" s="46" t="s">
        <v>1</v>
      </c>
      <c r="B5" s="15"/>
      <c r="C5" s="35">
        <v>1</v>
      </c>
      <c r="D5" s="31">
        <f>SUMPRODUCT('Puntuación nivel 1 sin ponderar'!$D6:$D8,'Puntuación nivel 1 sin ponderar'!E6:E8)</f>
        <v>7.9999999999999369</v>
      </c>
      <c r="E5" s="31">
        <f>SUMPRODUCT('Puntuación nivel 1 sin ponderar'!$D6:$D8,'Puntuación nivel 1 sin ponderar'!F6:F8)</f>
        <v>7.9999967612538336</v>
      </c>
      <c r="F5" s="31">
        <f>SUMPRODUCT('Puntuación nivel 1 sin ponderar'!$D6:$D8,'Puntuación nivel 1 sin ponderar'!G6:G8)</f>
        <v>4.2637806498830297</v>
      </c>
      <c r="G5" s="31">
        <f>SUMPRODUCT('Puntuación nivel 1 sin ponderar'!$D6:$D8,'Puntuación nivel 1 sin ponderar'!H6:H8)</f>
        <v>6.0018406623754643</v>
      </c>
      <c r="H5" s="31">
        <f>SUMPRODUCT('Puntuación nivel 1 sin ponderar'!$D6:$D8,'Puntuación nivel 1 sin ponderar'!I6:I8)</f>
        <v>4.2027322554572457</v>
      </c>
      <c r="I5" s="31">
        <f>SUMPRODUCT('Puntuación nivel 1 sin ponderar'!$D6:$D8,'Puntuación nivel 1 sin ponderar'!J6:J8)</f>
        <v>5.9457462129097092</v>
      </c>
      <c r="J5" s="31">
        <f>SUMPRODUCT('Puntuación nivel 1 sin ponderar'!$D6:$D8,'Puntuación nivel 1 sin ponderar'!K6:K8)</f>
        <v>1.9115987262886431</v>
      </c>
      <c r="K5" s="31">
        <f>SUMPRODUCT('Puntuación nivel 1 sin ponderar'!$D6:$D8,'Puntuación nivel 1 sin ponderar'!L6:L8)</f>
        <v>3.4519424867340067</v>
      </c>
      <c r="L5" s="31">
        <f>SUMPRODUCT('Puntuación nivel 1 sin ponderar'!$D6:$D8,'Puntuación nivel 1 sin ponderar'!M6:M8)</f>
        <v>1.8329204049426391</v>
      </c>
      <c r="M5" s="31">
        <f>SUMPRODUCT('Puntuación nivel 1 sin ponderar'!$D6:$D8,'Puntuación nivel 1 sin ponderar'!N6:N8)</f>
        <v>3.4951486784456893</v>
      </c>
      <c r="N5" s="31">
        <f>SUMPRODUCT('Puntuación nivel 1 sin ponderar'!$D6:$D8,'Puntuación nivel 1 sin ponderar'!O6:O8)</f>
        <v>1.9921022412553331</v>
      </c>
      <c r="O5" s="31">
        <f>SUMPRODUCT('Puntuación nivel 1 sin ponderar'!$D6:$D8,'Puntuación nivel 1 sin ponderar'!P6:P8)</f>
        <v>3.6654072008504546</v>
      </c>
      <c r="P5" s="31">
        <f>SUMPRODUCT('Puntuación nivel 1 sin ponderar'!$D6:$D8,'Puntuación nivel 1 sin ponderar'!Q6:Q8)</f>
        <v>1.9324779848325004</v>
      </c>
      <c r="Q5" s="31">
        <f>SUMPRODUCT('Puntuación nivel 1 sin ponderar'!$D6:$D8,'Puntuación nivel 1 sin ponderar'!R6:R8)</f>
        <v>3.5963186042648871</v>
      </c>
    </row>
    <row r="6" spans="1:61" ht="14.25" customHeight="1" thickTop="1" thickBot="1" x14ac:dyDescent="0.3">
      <c r="A6" s="224" t="s">
        <v>3</v>
      </c>
      <c r="B6" s="40" t="s">
        <v>4</v>
      </c>
      <c r="C6" s="43">
        <v>0.4</v>
      </c>
      <c r="D6" s="31">
        <f>SUMPRODUCT('Puntuación nivel 1 sin ponderar'!$D9:$D10,'Puntuación nivel 1 sin ponderar'!E9:E10)</f>
        <v>10</v>
      </c>
      <c r="E6" s="31">
        <f>SUMPRODUCT('Puntuación nivel 1 sin ponderar'!$D9:$D10,'Puntuación nivel 1 sin ponderar'!F9:F10)</f>
        <v>10</v>
      </c>
      <c r="F6" s="31">
        <f>SUMPRODUCT('Puntuación nivel 1 sin ponderar'!$D9:$D10,'Puntuación nivel 1 sin ponderar'!G9:G10)</f>
        <v>1.3865911759640444</v>
      </c>
      <c r="G6" s="31">
        <f>SUMPRODUCT('Puntuación nivel 1 sin ponderar'!$D9:$D10,'Puntuación nivel 1 sin ponderar'!H9:H10)</f>
        <v>0.83251078567166914</v>
      </c>
      <c r="H6" s="31">
        <f>SUMPRODUCT('Puntuación nivel 1 sin ponderar'!$D9:$D10,'Puntuación nivel 1 sin ponderar'!I9:I10)</f>
        <v>1.373559569492425</v>
      </c>
      <c r="I6" s="31">
        <f>SUMPRODUCT('Puntuación nivel 1 sin ponderar'!$D9:$D10,'Puntuación nivel 1 sin ponderar'!J9:J10)</f>
        <v>0.82355786391320507</v>
      </c>
      <c r="J6" s="31">
        <f>SUMPRODUCT('Puntuación nivel 1 sin ponderar'!$D9:$D10,'Puntuación nivel 1 sin ponderar'!K9:K10)</f>
        <v>0.8084954931519075</v>
      </c>
      <c r="K6" s="31">
        <f>SUMPRODUCT('Puntuación nivel 1 sin ponderar'!$D9:$D10,'Puntuación nivel 1 sin ponderar'!L9:L10)</f>
        <v>0.20409126260591215</v>
      </c>
      <c r="L6" s="31">
        <f>SUMPRODUCT('Puntuación nivel 1 sin ponderar'!$D9:$D10,'Puntuación nivel 1 sin ponderar'!M9:M10)</f>
        <v>0.79236641221374171</v>
      </c>
      <c r="M6" s="31">
        <f>SUMPRODUCT('Puntuación nivel 1 sin ponderar'!$D9:$D10,'Puntuación nivel 1 sin ponderar'!N9:N10)</f>
        <v>0.22065436844306952</v>
      </c>
      <c r="N6" s="31">
        <f>SUMPRODUCT('Puntuación nivel 1 sin ponderar'!$D9:$D10,'Puntuación nivel 1 sin ponderar'!O9:O10)</f>
        <v>0.82465866461781623</v>
      </c>
      <c r="O6" s="31">
        <f>SUMPRODUCT('Puntuación nivel 1 sin ponderar'!$D9:$D10,'Puntuación nivel 1 sin ponderar'!P9:P10)</f>
        <v>0.25805124152191539</v>
      </c>
      <c r="P6" s="31">
        <f>SUMPRODUCT('Puntuación nivel 1 sin ponderar'!$D9:$D10,'Puntuación nivel 1 sin ponderar'!Q9:Q10)</f>
        <v>0.81253308581284323</v>
      </c>
      <c r="Q6" s="31">
        <f>SUMPRODUCT('Puntuación nivel 1 sin ponderar'!$D9:$D10,'Puntuación nivel 1 sin ponderar'!R9:R10)</f>
        <v>0.24556558133423678</v>
      </c>
    </row>
    <row r="7" spans="1:61" ht="14.4" thickTop="1" thickBot="1" x14ac:dyDescent="0.3">
      <c r="A7" s="225"/>
      <c r="B7" s="41" t="s">
        <v>6</v>
      </c>
      <c r="C7" s="42">
        <v>0.6</v>
      </c>
      <c r="D7" s="31">
        <f>SUMPRODUCT('Puntuación nivel 1 sin ponderar'!$D11:$D14,'Puntuación nivel 1 sin ponderar'!E11:E14)</f>
        <v>9.625</v>
      </c>
      <c r="E7" s="31">
        <f>SUMPRODUCT('Puntuación nivel 1 sin ponderar'!$D11:$D14,'Puntuación nivel 1 sin ponderar'!F11:F14)</f>
        <v>10</v>
      </c>
      <c r="F7" s="31">
        <f>SUMPRODUCT('Puntuación nivel 1 sin ponderar'!$D11:$D14,'Puntuación nivel 1 sin ponderar'!G11:G14)</f>
        <v>5.2096537877143483</v>
      </c>
      <c r="G7" s="31">
        <f>SUMPRODUCT('Puntuación nivel 1 sin ponderar'!$D11:$D14,'Puntuación nivel 1 sin ponderar'!H11:H14)</f>
        <v>5.0182331235077058</v>
      </c>
      <c r="H7" s="31">
        <f>SUMPRODUCT('Puntuación nivel 1 sin ponderar'!$D11:$D14,'Puntuación nivel 1 sin ponderar'!I11:I14)</f>
        <v>4.8346537877143483</v>
      </c>
      <c r="I7" s="31">
        <f>SUMPRODUCT('Puntuación nivel 1 sin ponderar'!$D11:$D14,'Puntuación nivel 1 sin ponderar'!J11:J14)</f>
        <v>5.0182331235077058</v>
      </c>
      <c r="J7" s="31">
        <f>SUMPRODUCT('Puntuación nivel 1 sin ponderar'!$D11:$D14,'Puntuación nivel 1 sin ponderar'!K11:K14)</f>
        <v>5.875244193618407</v>
      </c>
      <c r="K7" s="31">
        <f>SUMPRODUCT('Puntuación nivel 1 sin ponderar'!$D11:$D14,'Puntuación nivel 1 sin ponderar'!L11:L14)</f>
        <v>5.6838235294117645</v>
      </c>
      <c r="L7" s="31">
        <f>SUMPRODUCT('Puntuación nivel 1 sin ponderar'!$D11:$D14,'Puntuación nivel 1 sin ponderar'!M11:M14)</f>
        <v>5.500244193618407</v>
      </c>
      <c r="M7" s="31">
        <f>SUMPRODUCT('Puntuación nivel 1 sin ponderar'!$D11:$D14,'Puntuación nivel 1 sin ponderar'!N11:N14)</f>
        <v>6.0588235294117645</v>
      </c>
      <c r="N7" s="31">
        <f>SUMPRODUCT('Puntuación nivel 1 sin ponderar'!$D11:$D14,'Puntuación nivel 1 sin ponderar'!O11:O14)</f>
        <v>3.4932168439331459</v>
      </c>
      <c r="O7" s="31">
        <f>SUMPRODUCT('Puntuación nivel 1 sin ponderar'!$D11:$D14,'Puntuación nivel 1 sin ponderar'!P11:P14)</f>
        <v>3.6767961797265043</v>
      </c>
      <c r="P7" s="31">
        <f>SUMPRODUCT('Puntuación nivel 1 sin ponderar'!$D11:$D14,'Puntuación nivel 1 sin ponderar'!Q11:Q14)</f>
        <v>3.4049815498154983</v>
      </c>
      <c r="Q7" s="31">
        <f>SUMPRODUCT('Puntuación nivel 1 sin ponderar'!$D11:$D14,'Puntuación nivel 1 sin ponderar'!R11:R14)</f>
        <v>3.5885608856088571</v>
      </c>
    </row>
    <row r="8" spans="1:61" ht="14.25" customHeight="1" thickTop="1" thickBot="1" x14ac:dyDescent="0.3">
      <c r="A8" s="104" t="s">
        <v>9</v>
      </c>
      <c r="B8" s="40" t="s">
        <v>10</v>
      </c>
      <c r="C8" s="43">
        <v>1</v>
      </c>
      <c r="D8" s="31">
        <f>SUMPRODUCT('Puntuación nivel 1 sin ponderar'!$D15:$D18,'Puntuación nivel 1 sin ponderar'!E15:E18)</f>
        <v>5.1579601724407418</v>
      </c>
      <c r="E8" s="31">
        <f>SUMPRODUCT('Puntuación nivel 1 sin ponderar'!$D15:$D18,'Puntuación nivel 1 sin ponderar'!F15:F18)</f>
        <v>8.1287327527954005</v>
      </c>
      <c r="F8" s="31">
        <f>SUMPRODUCT('Puntuación nivel 1 sin ponderar'!$D15:$D18,'Puntuación nivel 1 sin ponderar'!G15:G18)</f>
        <v>2.508604505957476</v>
      </c>
      <c r="G8" s="31">
        <f>SUMPRODUCT('Puntuación nivel 1 sin ponderar'!$D15:$D18,'Puntuación nivel 1 sin ponderar'!H15:H18)</f>
        <v>6.3402456729615739</v>
      </c>
      <c r="H8" s="31">
        <f>SUMPRODUCT('Puntuación nivel 1 sin ponderar'!$D15:$D18,'Puntuación nivel 1 sin ponderar'!I15:I18)</f>
        <v>7.8125128377581516</v>
      </c>
      <c r="I8" s="31">
        <f>SUMPRODUCT('Puntuación nivel 1 sin ponderar'!$D15:$D18,'Puntuación nivel 1 sin ponderar'!J15:J18)</f>
        <v>7.8786177271651363</v>
      </c>
      <c r="J8" s="31">
        <f>SUMPRODUCT('Puntuación nivel 1 sin ponderar'!$D15:$D18,'Puntuación nivel 1 sin ponderar'!K15:K18)</f>
        <v>7.453004213027957</v>
      </c>
      <c r="K8" s="31">
        <f>SUMPRODUCT('Puntuación nivel 1 sin ponderar'!$D15:$D18,'Puntuación nivel 1 sin ponderar'!L15:L18)</f>
        <v>7.4316245091173716</v>
      </c>
      <c r="L8" s="31">
        <f>SUMPRODUCT('Puntuación nivel 1 sin ponderar'!$D15:$D18,'Puntuación nivel 1 sin ponderar'!M15:M18)</f>
        <v>9.928211752130931</v>
      </c>
      <c r="M8" s="31">
        <f>SUMPRODUCT('Puntuación nivel 1 sin ponderar'!$D15:$D18,'Puntuación nivel 1 sin ponderar'!N15:N18)</f>
        <v>9.9422344718484208</v>
      </c>
      <c r="N8" s="31">
        <f>SUMPRODUCT('Puntuación nivel 1 sin ponderar'!$D15:$D18,'Puntuación nivel 1 sin ponderar'!O15:O18)</f>
        <v>6.2117784258791744</v>
      </c>
      <c r="O8" s="31">
        <f>SUMPRODUCT('Puntuación nivel 1 sin ponderar'!$D15:$D18,'Puntuación nivel 1 sin ponderar'!P15:P18)</f>
        <v>6.2080020766646991</v>
      </c>
      <c r="P8" s="31">
        <f>SUMPRODUCT('Puntuación nivel 1 sin ponderar'!$D15:$D18,'Puntuación nivel 1 sin ponderar'!Q15:Q18)</f>
        <v>7.8830078671089581</v>
      </c>
      <c r="Q8" s="31">
        <f>SUMPRODUCT('Puntuación nivel 1 sin ponderar'!$D15:$D18,'Puntuación nivel 1 sin ponderar'!R15:R18)</f>
        <v>7.8579424114622869</v>
      </c>
    </row>
    <row r="9" spans="1:61" ht="13.5" customHeight="1" thickTop="1" thickBot="1" x14ac:dyDescent="0.3">
      <c r="A9" s="222" t="s">
        <v>12</v>
      </c>
      <c r="B9" s="37" t="s">
        <v>13</v>
      </c>
      <c r="C9" s="35">
        <v>0.1</v>
      </c>
      <c r="D9" s="31">
        <f>SUMPRODUCT('Puntuación nivel 1 sin ponderar'!$D19:$D19,'Puntuación nivel 1 sin ponderar'!E19:E19)</f>
        <v>10</v>
      </c>
      <c r="E9" s="31">
        <f>SUMPRODUCT('Puntuación nivel 1 sin ponderar'!$D19:$D19,'Puntuación nivel 1 sin ponderar'!F19:F19)</f>
        <v>10</v>
      </c>
      <c r="F9" s="31">
        <f>SUMPRODUCT('Puntuación nivel 1 sin ponderar'!$D19:$D19,'Puntuación nivel 1 sin ponderar'!G19:G19)</f>
        <v>0</v>
      </c>
      <c r="G9" s="31">
        <f>SUMPRODUCT('Puntuación nivel 1 sin ponderar'!$D19:$D19,'Puntuación nivel 1 sin ponderar'!H19:H19)</f>
        <v>0</v>
      </c>
      <c r="H9" s="31">
        <f>SUMPRODUCT('Puntuación nivel 1 sin ponderar'!$D19:$D19,'Puntuación nivel 1 sin ponderar'!I19:I19)</f>
        <v>0</v>
      </c>
      <c r="I9" s="31">
        <f>SUMPRODUCT('Puntuación nivel 1 sin ponderar'!$D19:$D19,'Puntuación nivel 1 sin ponderar'!J19:J19)</f>
        <v>0</v>
      </c>
      <c r="J9" s="31">
        <f>SUMPRODUCT('Puntuación nivel 1 sin ponderar'!$D19:$D19,'Puntuación nivel 1 sin ponderar'!K19:K19)</f>
        <v>10</v>
      </c>
      <c r="K9" s="31">
        <f>SUMPRODUCT('Puntuación nivel 1 sin ponderar'!$D19:$D19,'Puntuación nivel 1 sin ponderar'!L19:L19)</f>
        <v>10</v>
      </c>
      <c r="L9" s="31">
        <f>SUMPRODUCT('Puntuación nivel 1 sin ponderar'!$D19:$D19,'Puntuación nivel 1 sin ponderar'!M19:M19)</f>
        <v>10</v>
      </c>
      <c r="M9" s="31">
        <f>SUMPRODUCT('Puntuación nivel 1 sin ponderar'!$D19:$D19,'Puntuación nivel 1 sin ponderar'!N19:N19)</f>
        <v>10</v>
      </c>
      <c r="N9" s="31">
        <f>SUMPRODUCT('Puntuación nivel 1 sin ponderar'!$D19:$D19,'Puntuación nivel 1 sin ponderar'!O19:O19)</f>
        <v>10</v>
      </c>
      <c r="O9" s="31">
        <f>SUMPRODUCT('Puntuación nivel 1 sin ponderar'!$D19:$D19,'Puntuación nivel 1 sin ponderar'!P19:P19)</f>
        <v>10</v>
      </c>
      <c r="P9" s="31">
        <f>SUMPRODUCT('Puntuación nivel 1 sin ponderar'!$D19:$D19,'Puntuación nivel 1 sin ponderar'!Q19:Q19)</f>
        <v>10</v>
      </c>
      <c r="Q9" s="31">
        <f>SUMPRODUCT('Puntuación nivel 1 sin ponderar'!$D19:$D19,'Puntuación nivel 1 sin ponderar'!R19:R19)</f>
        <v>10</v>
      </c>
    </row>
    <row r="10" spans="1:61" ht="14.4" thickTop="1" thickBot="1" x14ac:dyDescent="0.3">
      <c r="A10" s="223"/>
      <c r="B10" s="38" t="s">
        <v>14</v>
      </c>
      <c r="C10" s="34">
        <v>0.1</v>
      </c>
      <c r="D10" s="31">
        <f>SUMPRODUCT('Puntuación nivel 1 sin ponderar'!$D20:$D21,'Puntuación nivel 1 sin ponderar'!E20:E21)</f>
        <v>5</v>
      </c>
      <c r="E10" s="31">
        <f>SUMPRODUCT('Puntuación nivel 1 sin ponderar'!$D20:$D21,'Puntuación nivel 1 sin ponderar'!F20:F21)</f>
        <v>5</v>
      </c>
      <c r="F10" s="31">
        <f>SUMPRODUCT('Puntuación nivel 1 sin ponderar'!$D20:$D21,'Puntuación nivel 1 sin ponderar'!G20:G21)</f>
        <v>6.2113338187281268</v>
      </c>
      <c r="G10" s="31">
        <f>SUMPRODUCT('Puntuación nivel 1 sin ponderar'!$D20:$D21,'Puntuación nivel 1 sin ponderar'!H20:H21)</f>
        <v>7.6739694709159849</v>
      </c>
      <c r="H10" s="31">
        <f>SUMPRODUCT('Puntuación nivel 1 sin ponderar'!$D20:$D21,'Puntuación nivel 1 sin ponderar'!I20:I21)</f>
        <v>6.2113338187281268</v>
      </c>
      <c r="I10" s="31">
        <f>SUMPRODUCT('Puntuación nivel 1 sin ponderar'!$D20:$D21,'Puntuación nivel 1 sin ponderar'!J20:J21)</f>
        <v>7.6739694709159849</v>
      </c>
      <c r="J10" s="31">
        <f>SUMPRODUCT('Puntuación nivel 1 sin ponderar'!$D20:$D21,'Puntuación nivel 1 sin ponderar'!K20:K21)</f>
        <v>3.833193215786066</v>
      </c>
      <c r="K10" s="31">
        <f>SUMPRODUCT('Puntuación nivel 1 sin ponderar'!$D20:$D21,'Puntuación nivel 1 sin ponderar'!L20:L21)</f>
        <v>5.3008271491601588</v>
      </c>
      <c r="L10" s="31">
        <f>SUMPRODUCT('Puntuación nivel 1 sin ponderar'!$D20:$D21,'Puntuación nivel 1 sin ponderar'!M20:M21)</f>
        <v>3.833193215786066</v>
      </c>
      <c r="M10" s="31">
        <f>SUMPRODUCT('Puntuación nivel 1 sin ponderar'!$D20:$D21,'Puntuación nivel 1 sin ponderar'!N20:N21)</f>
        <v>5.3008271491601588</v>
      </c>
      <c r="N10" s="31">
        <f>SUMPRODUCT('Puntuación nivel 1 sin ponderar'!$D20:$D21,'Puntuación nivel 1 sin ponderar'!O20:O21)</f>
        <v>3.0662251989409883</v>
      </c>
      <c r="O10" s="31">
        <f>SUMPRODUCT('Puntuación nivel 1 sin ponderar'!$D20:$D21,'Puntuación nivel 1 sin ponderar'!P20:P21)</f>
        <v>4.5288734743313119</v>
      </c>
      <c r="P10" s="31">
        <f>SUMPRODUCT('Puntuación nivel 1 sin ponderar'!$D20:$D21,'Puntuación nivel 1 sin ponderar'!Q20:Q21)</f>
        <v>3.0662251989409883</v>
      </c>
      <c r="Q10" s="31">
        <f>SUMPRODUCT('Puntuación nivel 1 sin ponderar'!$D20:$D21,'Puntuación nivel 1 sin ponderar'!R20:R21)</f>
        <v>4.5288734743313119</v>
      </c>
    </row>
    <row r="11" spans="1:61" ht="14.4" thickTop="1" thickBot="1" x14ac:dyDescent="0.3">
      <c r="A11" s="223"/>
      <c r="B11" s="38" t="s">
        <v>15</v>
      </c>
      <c r="C11" s="34">
        <v>0.2</v>
      </c>
      <c r="D11" s="31">
        <f>SUMPRODUCT('Puntuación nivel 1 sin ponderar'!$D22:$D24,'Puntuación nivel 1 sin ponderar'!E22:E24)</f>
        <v>2.9020824240532708</v>
      </c>
      <c r="E11" s="31">
        <f>SUMPRODUCT('Puntuación nivel 1 sin ponderar'!$D22:$D24,'Puntuación nivel 1 sin ponderar'!F22:F24)</f>
        <v>3.9999999999999982</v>
      </c>
      <c r="F11" s="31">
        <f>SUMPRODUCT('Puntuación nivel 1 sin ponderar'!$D22:$D24,'Puntuación nivel 1 sin ponderar'!G22:G24)</f>
        <v>5.9920260486129591</v>
      </c>
      <c r="G11" s="31">
        <f>SUMPRODUCT('Puntuación nivel 1 sin ponderar'!$D22:$D24,'Puntuación nivel 1 sin ponderar'!H22:H24)</f>
        <v>6.0684706857519508</v>
      </c>
      <c r="H11" s="31">
        <f>SUMPRODUCT('Puntuación nivel 1 sin ponderar'!$D22:$D24,'Puntuación nivel 1 sin ponderar'!I22:I24)</f>
        <v>7.2915925810922415</v>
      </c>
      <c r="I11" s="31">
        <f>SUMPRODUCT('Puntuación nivel 1 sin ponderar'!$D22:$D24,'Puntuación nivel 1 sin ponderar'!J22:J24)</f>
        <v>7.3540142909630681</v>
      </c>
      <c r="J11" s="31">
        <f>SUMPRODUCT('Puntuación nivel 1 sin ponderar'!$D22:$D24,'Puntuación nivel 1 sin ponderar'!K22:K24)</f>
        <v>4.0296841180107421</v>
      </c>
      <c r="K11" s="31">
        <f>SUMPRODUCT('Puntuación nivel 1 sin ponderar'!$D22:$D24,'Puntuación nivel 1 sin ponderar'!L22:L24)</f>
        <v>4.2057106838490359</v>
      </c>
      <c r="L11" s="31">
        <f>SUMPRODUCT('Puntuación nivel 1 sin ponderar'!$D22:$D24,'Puntuación nivel 1 sin ponderar'!M22:M24)</f>
        <v>5.7745536449575354</v>
      </c>
      <c r="M11" s="31">
        <f>SUMPRODUCT('Puntuación nivel 1 sin ponderar'!$D22:$D24,'Puntuación nivel 1 sin ponderar'!N22:N24)</f>
        <v>5.8501140091928985</v>
      </c>
      <c r="N11" s="31">
        <f>SUMPRODUCT('Puntuación nivel 1 sin ponderar'!$D22:$D24,'Puntuación nivel 1 sin ponderar'!O22:O24)</f>
        <v>5.2374588666230206</v>
      </c>
      <c r="O11" s="31">
        <f>SUMPRODUCT('Puntuación nivel 1 sin ponderar'!$D22:$D24,'Puntuación nivel 1 sin ponderar'!P22:P24)</f>
        <v>5.4781012097978445</v>
      </c>
      <c r="P11" s="31">
        <f>SUMPRODUCT('Puntuación nivel 1 sin ponderar'!$D22:$D24,'Puntuación nivel 1 sin ponderar'!Q22:Q24)</f>
        <v>7.3485322519245049</v>
      </c>
      <c r="Q11" s="31">
        <f>SUMPRODUCT('Puntuación nivel 1 sin ponderar'!$D22:$D24,'Puntuación nivel 1 sin ponderar'!R22:R24)</f>
        <v>7.5981325784360338</v>
      </c>
    </row>
    <row r="12" spans="1:61" ht="14.4" thickTop="1" thickBot="1" x14ac:dyDescent="0.3">
      <c r="A12" s="223"/>
      <c r="B12" s="41" t="s">
        <v>16</v>
      </c>
      <c r="C12" s="42">
        <v>0.3</v>
      </c>
      <c r="D12" s="31">
        <f>SUMPRODUCT('Puntuación nivel 1 sin ponderar'!$D25:$D25,'Puntuación nivel 1 sin ponderar'!E25:E25)</f>
        <v>6.2745098039215685</v>
      </c>
      <c r="E12" s="31">
        <f>SUMPRODUCT('Puntuación nivel 1 sin ponderar'!$D25:$D25,'Puntuación nivel 1 sin ponderar'!F25:F25)</f>
        <v>6.2745098039215685</v>
      </c>
      <c r="F12" s="31">
        <f>SUMPRODUCT('Puntuación nivel 1 sin ponderar'!$D25:$D25,'Puntuación nivel 1 sin ponderar'!G25:G25)</f>
        <v>1.1764705882352935</v>
      </c>
      <c r="G12" s="31">
        <f>SUMPRODUCT('Puntuación nivel 1 sin ponderar'!$D25:$D25,'Puntuación nivel 1 sin ponderar'!H25:H25)</f>
        <v>5.6862745098039209</v>
      </c>
      <c r="H12" s="31">
        <f>SUMPRODUCT('Puntuación nivel 1 sin ponderar'!$D25:$D25,'Puntuación nivel 1 sin ponderar'!I25:I25)</f>
        <v>1.1764705882352935</v>
      </c>
      <c r="I12" s="31">
        <f>SUMPRODUCT('Puntuación nivel 1 sin ponderar'!$D25:$D25,'Puntuación nivel 1 sin ponderar'!J25:J25)</f>
        <v>5.6862745098039209</v>
      </c>
      <c r="J12" s="31">
        <f>SUMPRODUCT('Puntuación nivel 1 sin ponderar'!$D25:$D25,'Puntuación nivel 1 sin ponderar'!K25:K25)</f>
        <v>7.4509803921568629</v>
      </c>
      <c r="K12" s="31">
        <f>SUMPRODUCT('Puntuación nivel 1 sin ponderar'!$D25:$D25,'Puntuación nivel 1 sin ponderar'!L25:L25)</f>
        <v>10</v>
      </c>
      <c r="L12" s="31">
        <f>SUMPRODUCT('Puntuación nivel 1 sin ponderar'!$D25:$D25,'Puntuación nivel 1 sin ponderar'!M25:M25)</f>
        <v>7.4509803921568629</v>
      </c>
      <c r="M12" s="31">
        <f>SUMPRODUCT('Puntuación nivel 1 sin ponderar'!$D25:$D25,'Puntuación nivel 1 sin ponderar'!N25:N25)</f>
        <v>10</v>
      </c>
      <c r="N12" s="31">
        <f>SUMPRODUCT('Puntuación nivel 1 sin ponderar'!$D25:$D25,'Puntuación nivel 1 sin ponderar'!O25:O25)</f>
        <v>-7.6327832942979512E-16</v>
      </c>
      <c r="O12" s="31">
        <f>SUMPRODUCT('Puntuación nivel 1 sin ponderar'!$D25:$D25,'Puntuación nivel 1 sin ponderar'!P25:P25)</f>
        <v>3.5294117647058822</v>
      </c>
      <c r="P12" s="31">
        <f>SUMPRODUCT('Puntuación nivel 1 sin ponderar'!$D25:$D25,'Puntuación nivel 1 sin ponderar'!Q25:Q25)</f>
        <v>-7.6327832942979512E-16</v>
      </c>
      <c r="Q12" s="31">
        <f>SUMPRODUCT('Puntuación nivel 1 sin ponderar'!$D25:$D25,'Puntuación nivel 1 sin ponderar'!R25:R25)</f>
        <v>3.5294117647058822</v>
      </c>
    </row>
    <row r="13" spans="1:61" ht="14.4" thickTop="1" thickBot="1" x14ac:dyDescent="0.3">
      <c r="A13" s="223"/>
      <c r="B13" s="41" t="s">
        <v>17</v>
      </c>
      <c r="C13" s="42">
        <v>0.3</v>
      </c>
      <c r="D13" s="31">
        <f>SUMPRODUCT('Puntuación nivel 1 sin ponderar'!$D26:$D26,'Puntuación nivel 1 sin ponderar'!E26:E26)</f>
        <v>10</v>
      </c>
      <c r="E13" s="31">
        <f>SUMPRODUCT('Puntuación nivel 1 sin ponderar'!$D26:$D26,'Puntuación nivel 1 sin ponderar'!F26:F26)</f>
        <v>10</v>
      </c>
      <c r="F13" s="31">
        <f>SUMPRODUCT('Puntuación nivel 1 sin ponderar'!$D26:$D26,'Puntuación nivel 1 sin ponderar'!G26:G26)</f>
        <v>0</v>
      </c>
      <c r="G13" s="31">
        <f>SUMPRODUCT('Puntuación nivel 1 sin ponderar'!$D26:$D26,'Puntuación nivel 1 sin ponderar'!H26:H26)</f>
        <v>0</v>
      </c>
      <c r="H13" s="31">
        <f>SUMPRODUCT('Puntuación nivel 1 sin ponderar'!$D26:$D26,'Puntuación nivel 1 sin ponderar'!I26:I26)</f>
        <v>0</v>
      </c>
      <c r="I13" s="31">
        <f>SUMPRODUCT('Puntuación nivel 1 sin ponderar'!$D26:$D26,'Puntuación nivel 1 sin ponderar'!J26:J26)</f>
        <v>0</v>
      </c>
      <c r="J13" s="31">
        <f>SUMPRODUCT('Puntuación nivel 1 sin ponderar'!$D26:$D26,'Puntuación nivel 1 sin ponderar'!K26:K26)</f>
        <v>10</v>
      </c>
      <c r="K13" s="31">
        <f>SUMPRODUCT('Puntuación nivel 1 sin ponderar'!$D26:$D26,'Puntuación nivel 1 sin ponderar'!L26:L26)</f>
        <v>10</v>
      </c>
      <c r="L13" s="31">
        <f>SUMPRODUCT('Puntuación nivel 1 sin ponderar'!$D26:$D26,'Puntuación nivel 1 sin ponderar'!M26:M26)</f>
        <v>10</v>
      </c>
      <c r="M13" s="31">
        <f>SUMPRODUCT('Puntuación nivel 1 sin ponderar'!$D26:$D26,'Puntuación nivel 1 sin ponderar'!N26:N26)</f>
        <v>10</v>
      </c>
      <c r="N13" s="31">
        <f>SUMPRODUCT('Puntuación nivel 1 sin ponderar'!$D26:$D26,'Puntuación nivel 1 sin ponderar'!O26:O26)</f>
        <v>10</v>
      </c>
      <c r="O13" s="31">
        <f>SUMPRODUCT('Puntuación nivel 1 sin ponderar'!$D26:$D26,'Puntuación nivel 1 sin ponderar'!P26:P26)</f>
        <v>10</v>
      </c>
      <c r="P13" s="31">
        <f>SUMPRODUCT('Puntuación nivel 1 sin ponderar'!$D26:$D26,'Puntuación nivel 1 sin ponderar'!Q26:Q26)</f>
        <v>10</v>
      </c>
      <c r="Q13" s="31">
        <f>SUMPRODUCT('Puntuación nivel 1 sin ponderar'!$D26:$D26,'Puntuación nivel 1 sin ponderar'!R26:R26)</f>
        <v>10</v>
      </c>
    </row>
    <row r="14" spans="1:61" ht="14.25" customHeight="1" thickTop="1" thickBot="1" x14ac:dyDescent="0.3">
      <c r="A14" s="222" t="s">
        <v>18</v>
      </c>
      <c r="B14" s="40" t="s">
        <v>19</v>
      </c>
      <c r="C14" s="43">
        <v>0.25</v>
      </c>
      <c r="D14" s="31">
        <f>SUMPRODUCT('Puntuación nivel 1 sin ponderar'!$D27:$D30,'Puntuación nivel 1 sin ponderar'!E27:E30)</f>
        <v>5.493950076933503</v>
      </c>
      <c r="E14" s="31">
        <f>SUMPRODUCT('Puntuación nivel 1 sin ponderar'!$D27:$D30,'Puntuación nivel 1 sin ponderar'!F27:F30)</f>
        <v>5.493950076933503</v>
      </c>
      <c r="F14" s="31">
        <f>SUMPRODUCT('Puntuación nivel 1 sin ponderar'!$D27:$D30,'Puntuación nivel 1 sin ponderar'!G27:G30)</f>
        <v>4.884140218283866</v>
      </c>
      <c r="G14" s="31">
        <f>SUMPRODUCT('Puntuación nivel 1 sin ponderar'!$D27:$D30,'Puntuación nivel 1 sin ponderar'!H27:H30)</f>
        <v>8.3999999999999986</v>
      </c>
      <c r="H14" s="31">
        <f>SUMPRODUCT('Puntuación nivel 1 sin ponderar'!$D27:$D30,'Puntuación nivel 1 sin ponderar'!I27:I30)</f>
        <v>4.884140218283866</v>
      </c>
      <c r="I14" s="31">
        <f>SUMPRODUCT('Puntuación nivel 1 sin ponderar'!$D27:$D30,'Puntuación nivel 1 sin ponderar'!J27:J30)</f>
        <v>8.3999999999999986</v>
      </c>
      <c r="J14" s="31">
        <f>SUMPRODUCT('Puntuación nivel 1 sin ponderar'!$D27:$D30,'Puntuación nivel 1 sin ponderar'!K27:K30)</f>
        <v>1.8258598614399739</v>
      </c>
      <c r="K14" s="31">
        <f>SUMPRODUCT('Puntuación nivel 1 sin ponderar'!$D27:$D30,'Puntuación nivel 1 sin ponderar'!L27:L30)</f>
        <v>5.3417196431561091</v>
      </c>
      <c r="L14" s="31">
        <f>SUMPRODUCT('Puntuación nivel 1 sin ponderar'!$D27:$D30,'Puntuación nivel 1 sin ponderar'!M27:M30)</f>
        <v>1.8258598614399739</v>
      </c>
      <c r="M14" s="31">
        <f>SUMPRODUCT('Puntuación nivel 1 sin ponderar'!$D27:$D30,'Puntuación nivel 1 sin ponderar'!N27:N30)</f>
        <v>5.3417196431561091</v>
      </c>
      <c r="N14" s="31">
        <f>SUMPRODUCT('Puntuación nivel 1 sin ponderar'!$D27:$D30,'Puntuación nivel 1 sin ponderar'!O27:O30)</f>
        <v>1.7999999999999989</v>
      </c>
      <c r="O14" s="31">
        <f>SUMPRODUCT('Puntuación nivel 1 sin ponderar'!$D27:$D30,'Puntuación nivel 1 sin ponderar'!P27:P30)</f>
        <v>5.315859781716135</v>
      </c>
      <c r="P14" s="31">
        <f>SUMPRODUCT('Puntuación nivel 1 sin ponderar'!$D27:$D30,'Puntuación nivel 1 sin ponderar'!Q27:Q30)</f>
        <v>1.7999999999999989</v>
      </c>
      <c r="Q14" s="31">
        <f>SUMPRODUCT('Puntuación nivel 1 sin ponderar'!$D27:$D30,'Puntuación nivel 1 sin ponderar'!R27:R30)</f>
        <v>5.315859781716135</v>
      </c>
    </row>
    <row r="15" spans="1:61" ht="14.4" thickTop="1" thickBot="1" x14ac:dyDescent="0.3">
      <c r="A15" s="223"/>
      <c r="B15" s="41" t="s">
        <v>20</v>
      </c>
      <c r="C15" s="42">
        <v>0.25</v>
      </c>
      <c r="D15" s="31">
        <f>SUMPRODUCT('Puntuación nivel 1 sin ponderar'!$D31:$D35,'Puntuación nivel 1 sin ponderar'!E31:E35)</f>
        <v>8.9090909090909065</v>
      </c>
      <c r="E15" s="31">
        <f>SUMPRODUCT('Puntuación nivel 1 sin ponderar'!$D31:$D35,'Puntuación nivel 1 sin ponderar'!F31:F35)</f>
        <v>8.9090909090909065</v>
      </c>
      <c r="F15" s="31">
        <f>SUMPRODUCT('Puntuación nivel 1 sin ponderar'!$D31:$D35,'Puntuación nivel 1 sin ponderar'!G31:G35)</f>
        <v>5.1510695187165769</v>
      </c>
      <c r="G15" s="31">
        <f>SUMPRODUCT('Puntuación nivel 1 sin ponderar'!$D31:$D35,'Puntuación nivel 1 sin ponderar'!H31:H35)</f>
        <v>5.7805416791000193</v>
      </c>
      <c r="H15" s="31">
        <f>SUMPRODUCT('Puntuación nivel 1 sin ponderar'!$D31:$D35,'Puntuación nivel 1 sin ponderar'!I31:I35)</f>
        <v>5.1510695187165769</v>
      </c>
      <c r="I15" s="31">
        <f>SUMPRODUCT('Puntuación nivel 1 sin ponderar'!$D31:$D35,'Puntuación nivel 1 sin ponderar'!J31:J35)</f>
        <v>5.7805416791000193</v>
      </c>
      <c r="J15" s="31">
        <f>SUMPRODUCT('Puntuación nivel 1 sin ponderar'!$D31:$D35,'Puntuación nivel 1 sin ponderar'!K31:K35)</f>
        <v>1.4715764631461141</v>
      </c>
      <c r="K15" s="31">
        <f>SUMPRODUCT('Puntuación nivel 1 sin ponderar'!$D31:$D35,'Puntuación nivel 1 sin ponderar'!L31:L35)</f>
        <v>2.1010486235295551</v>
      </c>
      <c r="L15" s="31">
        <f>SUMPRODUCT('Puntuación nivel 1 sin ponderar'!$D31:$D35,'Puntuación nivel 1 sin ponderar'!M31:M35)</f>
        <v>1.4715764631461141</v>
      </c>
      <c r="M15" s="31">
        <f>SUMPRODUCT('Puntuación nivel 1 sin ponderar'!$D31:$D35,'Puntuación nivel 1 sin ponderar'!N31:N35)</f>
        <v>2.1010486235295551</v>
      </c>
      <c r="N15" s="31">
        <f>SUMPRODUCT('Puntuación nivel 1 sin ponderar'!$D31:$D35,'Puntuación nivel 1 sin ponderar'!O31:O35)</f>
        <v>2.6376278130682222</v>
      </c>
      <c r="O15" s="31">
        <f>SUMPRODUCT('Puntuación nivel 1 sin ponderar'!$D31:$D35,'Puntuación nivel 1 sin ponderar'!P31:P35)</f>
        <v>3.3850245017535503</v>
      </c>
      <c r="P15" s="31">
        <f>SUMPRODUCT('Puntuación nivel 1 sin ponderar'!$D31:$D35,'Puntuación nivel 1 sin ponderar'!Q31:Q35)</f>
        <v>2.6376278130682222</v>
      </c>
      <c r="Q15" s="31">
        <f>SUMPRODUCT('Puntuación nivel 1 sin ponderar'!$D31:$D35,'Puntuación nivel 1 sin ponderar'!R31:R35)</f>
        <v>3.3850245017535503</v>
      </c>
    </row>
    <row r="16" spans="1:61" ht="14.4" thickTop="1" thickBot="1" x14ac:dyDescent="0.3">
      <c r="A16" s="120"/>
      <c r="B16" s="130" t="s">
        <v>97</v>
      </c>
      <c r="C16" s="42">
        <v>0.5</v>
      </c>
      <c r="D16" s="31">
        <f>SUMPRODUCT('Puntuación nivel 1 sin ponderar'!$D36:$D36,'Puntuación nivel 1 sin ponderar'!E36:E36)</f>
        <v>9.6399198810354765</v>
      </c>
      <c r="E16" s="31">
        <f>SUMPRODUCT('Puntuación nivel 1 sin ponderar'!$D36:$D36,'Puntuación nivel 1 sin ponderar'!F36:F36)</f>
        <v>9.6399198810354765</v>
      </c>
      <c r="F16" s="31">
        <f>SUMPRODUCT('Puntuación nivel 1 sin ponderar'!$D36:$D36,'Puntuación nivel 1 sin ponderar'!G36:G36)</f>
        <v>0</v>
      </c>
      <c r="G16" s="31">
        <f>SUMPRODUCT('Puntuación nivel 1 sin ponderar'!$D36:$D36,'Puntuación nivel 1 sin ponderar'!H36:H36)</f>
        <v>0</v>
      </c>
      <c r="H16" s="31">
        <f>SUMPRODUCT('Puntuación nivel 1 sin ponderar'!$D36:$D36,'Puntuación nivel 1 sin ponderar'!I36:I36)</f>
        <v>4.8684410184819891</v>
      </c>
      <c r="I16" s="31">
        <f>SUMPRODUCT('Puntuación nivel 1 sin ponderar'!$D36:$D36,'Puntuación nivel 1 sin ponderar'!J36:J36)</f>
        <v>4.8684410184819891</v>
      </c>
      <c r="J16" s="31">
        <f>SUMPRODUCT('Puntuación nivel 1 sin ponderar'!$D36:$D36,'Puntuación nivel 1 sin ponderar'!K36:K36)</f>
        <v>8.7099025826226821</v>
      </c>
      <c r="K16" s="31">
        <f>SUMPRODUCT('Puntuación nivel 1 sin ponderar'!$D36:$D36,'Puntuación nivel 1 sin ponderar'!L36:L36)</f>
        <v>8.7099025826226821</v>
      </c>
      <c r="L16" s="31">
        <f>SUMPRODUCT('Puntuación nivel 1 sin ponderar'!$D36:$D36,'Puntuación nivel 1 sin ponderar'!M36:M36)</f>
        <v>9.1930442171709519</v>
      </c>
      <c r="M16" s="31">
        <f>SUMPRODUCT('Puntuación nivel 1 sin ponderar'!$D36:$D36,'Puntuación nivel 1 sin ponderar'!N36:N36)</f>
        <v>9.1930442171709519</v>
      </c>
      <c r="N16" s="31">
        <f>SUMPRODUCT('Puntuación nivel 1 sin ponderar'!$D36:$D36,'Puntuación nivel 1 sin ponderar'!O36:O36)</f>
        <v>9.5214105793450887</v>
      </c>
      <c r="O16" s="31">
        <f>SUMPRODUCT('Puntuación nivel 1 sin ponderar'!$D36:$D36,'Puntuación nivel 1 sin ponderar'!P36:P36)</f>
        <v>9.5214105793450887</v>
      </c>
      <c r="P16" s="31">
        <f>SUMPRODUCT('Puntuación nivel 1 sin ponderar'!$D36:$D36,'Puntuación nivel 1 sin ponderar'!Q36:Q36)</f>
        <v>10</v>
      </c>
      <c r="Q16" s="31">
        <f>SUMPRODUCT('Puntuación nivel 1 sin ponderar'!$D36:$D36,'Puntuación nivel 1 sin ponderar'!R36:R36)</f>
        <v>10</v>
      </c>
    </row>
    <row r="17" spans="1:17" ht="14.25" customHeight="1" thickTop="1" thickBot="1" x14ac:dyDescent="0.3">
      <c r="A17" s="46" t="s">
        <v>62</v>
      </c>
      <c r="B17" s="14"/>
      <c r="C17" s="34">
        <v>1</v>
      </c>
      <c r="D17" s="31">
        <f>SUMPRODUCT('Puntuación nivel 1 sin ponderar'!$D37:$D38,'Puntuación nivel 1 sin ponderar'!E37:E38)</f>
        <v>8.8823424830601976</v>
      </c>
      <c r="E17" s="31">
        <f>SUMPRODUCT('Puntuación nivel 1 sin ponderar'!$D37:$D38,'Puntuación nivel 1 sin ponderar'!F37:F38)</f>
        <v>10</v>
      </c>
      <c r="F17" s="31">
        <f>SUMPRODUCT('Puntuación nivel 1 sin ponderar'!$D37:$D38,'Puntuación nivel 1 sin ponderar'!G37:G38)</f>
        <v>1.1613342830750035</v>
      </c>
      <c r="G17" s="31">
        <f>SUMPRODUCT('Puntuación nivel 1 sin ponderar'!$D37:$D38,'Puntuación nivel 1 sin ponderar'!H37:H38)</f>
        <v>2.4415324055292089</v>
      </c>
      <c r="H17" s="31">
        <f>SUMPRODUCT('Puntuación nivel 1 sin ponderar'!$D37:$D38,'Puntuación nivel 1 sin ponderar'!I37:I38)</f>
        <v>2.6552587534706245</v>
      </c>
      <c r="I17" s="31">
        <f>SUMPRODUCT('Puntuación nivel 1 sin ponderar'!$D37:$D38,'Puntuación nivel 1 sin ponderar'!J37:J38)</f>
        <v>3.9066743946775073</v>
      </c>
      <c r="J17" s="31">
        <f>SUMPRODUCT('Puntuación nivel 1 sin ponderar'!$D37:$D38,'Puntuación nivel 1 sin ponderar'!K37:K38)</f>
        <v>0.14003649580404876</v>
      </c>
      <c r="K17" s="31">
        <f>SUMPRODUCT('Puntuación nivel 1 sin ponderar'!$D37:$D38,'Puntuación nivel 1 sin ponderar'!L37:L38)</f>
        <v>1.3776924563026718</v>
      </c>
      <c r="L17" s="31">
        <f>SUMPRODUCT('Puntuación nivel 1 sin ponderar'!$D37:$D38,'Puntuación nivel 1 sin ponderar'!M37:M38)</f>
        <v>1.4509152874759739</v>
      </c>
      <c r="M17" s="31">
        <f>SUMPRODUCT('Puntuación nivel 1 sin ponderar'!$D37:$D38,'Puntuación nivel 1 sin ponderar'!N37:N38)</f>
        <v>2.7507064727067068</v>
      </c>
      <c r="N17" s="31">
        <f>SUMPRODUCT('Puntuación nivel 1 sin ponderar'!$D37:$D38,'Puntuación nivel 1 sin ponderar'!O37:O38)</f>
        <v>4.0660736975858924E-2</v>
      </c>
      <c r="O17" s="31">
        <f>SUMPRODUCT('Puntuación nivel 1 sin ponderar'!$D37:$D38,'Puntuación nivel 1 sin ponderar'!P37:P38)</f>
        <v>1.3643856706394306</v>
      </c>
      <c r="P17" s="31">
        <f>SUMPRODUCT('Puntuación nivel 1 sin ponderar'!$D37:$D38,'Puntuación nivel 1 sin ponderar'!Q37:Q38)</f>
        <v>1.3633126254493266</v>
      </c>
      <c r="Q17" s="31">
        <f>SUMPRODUCT('Puntuación nivel 1 sin ponderar'!$D37:$D38,'Puntuación nivel 1 sin ponderar'!R37:R38)</f>
        <v>2.5965687761852294</v>
      </c>
    </row>
    <row r="18" spans="1:17" ht="13.5" customHeight="1" thickTop="1" x14ac:dyDescent="0.25">
      <c r="A18" s="158" t="s">
        <v>59</v>
      </c>
      <c r="B18" s="219"/>
      <c r="C18" s="230"/>
      <c r="D18" s="217">
        <f>SUMPRODUCT($C3:$C17,D3:D17)</f>
        <v>57.198792268511845</v>
      </c>
      <c r="E18" s="217">
        <f t="shared" ref="E18:Q18" si="0">SUMPRODUCT($C3:$C17,E3:E17)</f>
        <v>58.612621419704418</v>
      </c>
      <c r="F18" s="217">
        <f t="shared" si="0"/>
        <v>22.273004288425245</v>
      </c>
      <c r="G18" s="217">
        <f t="shared" si="0"/>
        <v>30.782709502813404</v>
      </c>
      <c r="H18" s="217">
        <f t="shared" si="0"/>
        <v>28.372215365131325</v>
      </c>
      <c r="I18" s="217">
        <f t="shared" si="0"/>
        <v>33.717465054936547</v>
      </c>
      <c r="J18" s="217">
        <f t="shared" si="0"/>
        <v>30.936657424001233</v>
      </c>
      <c r="K18" s="217">
        <f t="shared" si="0"/>
        <v>35.04138346290145</v>
      </c>
      <c r="L18" s="217">
        <f t="shared" si="0"/>
        <v>33.281445985492049</v>
      </c>
      <c r="M18" s="217">
        <f t="shared" si="0"/>
        <v>37.630707636635876</v>
      </c>
      <c r="N18" s="217">
        <f t="shared" si="0"/>
        <v>26.181615538979248</v>
      </c>
      <c r="O18" s="217">
        <f t="shared" si="0"/>
        <v>30.469555524910035</v>
      </c>
      <c r="P18" s="217">
        <f t="shared" si="0"/>
        <v>25.432704246246857</v>
      </c>
      <c r="Q18" s="217">
        <f t="shared" si="0"/>
        <v>31.703488613376599</v>
      </c>
    </row>
    <row r="19" spans="1:17" ht="13.8" thickBot="1" x14ac:dyDescent="0.3">
      <c r="A19" s="220"/>
      <c r="B19" s="221"/>
      <c r="C19" s="231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</row>
    <row r="20" spans="1:17" ht="13.8" thickTop="1" x14ac:dyDescent="0.25"/>
    <row r="21" spans="1:17" ht="14.4" x14ac:dyDescent="0.35">
      <c r="B21" s="228" t="s">
        <v>46</v>
      </c>
      <c r="C21" s="229"/>
      <c r="D21" t="str">
        <f t="shared" ref="D21:I21" si="1">IF(D18=MAX($D$18:$Q$19),"X"," ")</f>
        <v xml:space="preserve"> </v>
      </c>
      <c r="E21" s="24" t="str">
        <f t="shared" si="1"/>
        <v>X</v>
      </c>
      <c r="F21" t="str">
        <f t="shared" si="1"/>
        <v xml:space="preserve"> </v>
      </c>
      <c r="G21" t="str">
        <f t="shared" si="1"/>
        <v xml:space="preserve"> </v>
      </c>
      <c r="H21" t="str">
        <f t="shared" si="1"/>
        <v xml:space="preserve"> </v>
      </c>
      <c r="I21" t="str">
        <f t="shared" si="1"/>
        <v xml:space="preserve"> </v>
      </c>
      <c r="J21" t="str">
        <f t="shared" ref="J21:Q21" si="2">IF(J18=MAX($D$18:$Q$19),"X"," ")</f>
        <v xml:space="preserve"> </v>
      </c>
      <c r="K21" t="str">
        <f t="shared" si="2"/>
        <v xml:space="preserve"> </v>
      </c>
      <c r="L21" t="str">
        <f t="shared" si="2"/>
        <v xml:space="preserve"> </v>
      </c>
      <c r="M21" t="str">
        <f t="shared" si="2"/>
        <v xml:space="preserve"> </v>
      </c>
      <c r="N21" t="str">
        <f t="shared" si="2"/>
        <v xml:space="preserve"> </v>
      </c>
      <c r="O21" t="str">
        <f t="shared" si="2"/>
        <v xml:space="preserve"> </v>
      </c>
      <c r="P21" t="str">
        <f t="shared" si="2"/>
        <v xml:space="preserve"> </v>
      </c>
      <c r="Q21" t="str">
        <f t="shared" si="2"/>
        <v xml:space="preserve"> </v>
      </c>
    </row>
  </sheetData>
  <mergeCells count="22">
    <mergeCell ref="B21:C21"/>
    <mergeCell ref="A18:C19"/>
    <mergeCell ref="O18:O19"/>
    <mergeCell ref="P18:P19"/>
    <mergeCell ref="L18:L19"/>
    <mergeCell ref="M18:M19"/>
    <mergeCell ref="N18:N19"/>
    <mergeCell ref="I18:I19"/>
    <mergeCell ref="K18:K19"/>
    <mergeCell ref="J18:J19"/>
    <mergeCell ref="B1:C1"/>
    <mergeCell ref="D1:Q1"/>
    <mergeCell ref="F18:F19"/>
    <mergeCell ref="G18:G19"/>
    <mergeCell ref="Q18:Q19"/>
    <mergeCell ref="A14:A15"/>
    <mergeCell ref="A6:A7"/>
    <mergeCell ref="H18:H19"/>
    <mergeCell ref="A3:A4"/>
    <mergeCell ref="A9:A13"/>
    <mergeCell ref="D18:D19"/>
    <mergeCell ref="E18:E19"/>
  </mergeCells>
  <phoneticPr fontId="14" type="noConversion"/>
  <pageMargins left="0.7" right="0.7" top="0.75" bottom="0.75" header="0.3" footer="0.3"/>
  <pageSetup paperSize="8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W8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3" sqref="E13"/>
    </sheetView>
  </sheetViews>
  <sheetFormatPr baseColWidth="10" defaultRowHeight="13.2" x14ac:dyDescent="0.25"/>
  <cols>
    <col min="1" max="1" width="39.33203125" bestFit="1" customWidth="1"/>
    <col min="2" max="15" width="10.33203125" customWidth="1"/>
    <col min="16" max="49" width="11.44140625" style="10" customWidth="1"/>
  </cols>
  <sheetData>
    <row r="1" spans="1:19" ht="16.8" thickTop="1" thickBot="1" x14ac:dyDescent="0.3">
      <c r="A1" s="16" t="s">
        <v>25</v>
      </c>
      <c r="B1" s="156" t="s">
        <v>47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02" t="s">
        <v>52</v>
      </c>
      <c r="Q1" s="202"/>
      <c r="R1" s="202" t="s">
        <v>53</v>
      </c>
      <c r="S1" s="202"/>
    </row>
    <row r="2" spans="1:19" ht="16.8" thickTop="1" thickBot="1" x14ac:dyDescent="0.35">
      <c r="A2" s="36" t="s">
        <v>45</v>
      </c>
      <c r="B2" s="2" t="s">
        <v>88</v>
      </c>
      <c r="C2" s="2" t="s">
        <v>27</v>
      </c>
      <c r="D2" s="2" t="s">
        <v>89</v>
      </c>
      <c r="E2" s="2" t="s">
        <v>28</v>
      </c>
      <c r="F2" s="2" t="s">
        <v>29</v>
      </c>
      <c r="G2" s="2" t="s">
        <v>41</v>
      </c>
      <c r="H2" s="2" t="s">
        <v>90</v>
      </c>
      <c r="I2" s="2" t="s">
        <v>30</v>
      </c>
      <c r="J2" s="2" t="s">
        <v>31</v>
      </c>
      <c r="K2" s="2" t="s">
        <v>40</v>
      </c>
      <c r="L2" s="2" t="s">
        <v>91</v>
      </c>
      <c r="M2" s="2" t="s">
        <v>39</v>
      </c>
      <c r="N2" s="2" t="s">
        <v>92</v>
      </c>
      <c r="O2" s="2" t="s">
        <v>93</v>
      </c>
      <c r="P2" s="100" t="s">
        <v>51</v>
      </c>
      <c r="Q2" s="100" t="s">
        <v>48</v>
      </c>
      <c r="R2" s="100" t="s">
        <v>49</v>
      </c>
      <c r="S2" s="100" t="s">
        <v>50</v>
      </c>
    </row>
    <row r="3" spans="1:19" ht="13.5" customHeight="1" thickTop="1" thickBot="1" x14ac:dyDescent="0.3">
      <c r="A3" s="46" t="s">
        <v>0</v>
      </c>
      <c r="B3" s="31">
        <f>SUMPRODUCT('Puntuación nivel 1 ponderada'!$C3:$C4,'Puntuación nivel 1 ponderada'!D3:D4)</f>
        <v>10</v>
      </c>
      <c r="C3" s="31">
        <f>SUMPRODUCT('Puntuación nivel 1 ponderada'!$C3:$C4,'Puntuación nivel 1 ponderada'!E3:E4)</f>
        <v>6.8808187774548664</v>
      </c>
      <c r="D3" s="31">
        <f>SUMPRODUCT('Puntuación nivel 1 ponderada'!$C3:$C4,'Puntuación nivel 1 ponderada'!F3:F4)</f>
        <v>5.9775739041794083</v>
      </c>
      <c r="E3" s="31">
        <f>SUMPRODUCT('Puntuación nivel 1 ponderada'!$C3:$C4,'Puntuación nivel 1 ponderada'!G3:G4)</f>
        <v>5.4230377166156973</v>
      </c>
      <c r="F3" s="31">
        <f>SUMPRODUCT('Puntuación nivel 1 ponderada'!$C3:$C4,'Puntuación nivel 1 ponderada'!H3:H4)</f>
        <v>2.8760793999667733</v>
      </c>
      <c r="G3" s="31">
        <f>SUMPRODUCT('Puntuación nivel 1 ponderada'!$C3:$C4,'Puntuación nivel 1 ponderada'!I3:I4)</f>
        <v>2.722625613272899</v>
      </c>
      <c r="H3" s="31">
        <f>SUMPRODUCT('Puntuación nivel 1 ponderada'!$C3:$C4,'Puntuación nivel 1 ponderada'!J3:J4)</f>
        <v>4.9796126401630971</v>
      </c>
      <c r="I3" s="31">
        <f>SUMPRODUCT('Puntuación nivel 1 ponderada'!$C3:$C4,'Puntuación nivel 1 ponderada'!K3:K4)</f>
        <v>4.7013251783893972</v>
      </c>
      <c r="J3" s="31">
        <f>SUMPRODUCT('Puntuación nivel 1 ponderada'!$C3:$C4,'Puntuación nivel 1 ponderada'!L3:L4)</f>
        <v>3.2579001019367979</v>
      </c>
      <c r="K3" s="31">
        <f>SUMPRODUCT('Puntuación nivel 1 ponderada'!$C3:$C4,'Puntuación nivel 1 ponderada'!M3:M4)</f>
        <v>2.5617424565992817</v>
      </c>
      <c r="L3" s="31">
        <f>SUMPRODUCT('Puntuación nivel 1 ponderada'!$C3:$C4,'Puntuación nivel 1 ponderada'!N3:N4)</f>
        <v>4.287054026503565</v>
      </c>
      <c r="M3" s="31">
        <f>SUMPRODUCT('Puntuación nivel 1 ponderada'!$C3:$C4,'Puntuación nivel 1 ponderada'!O3:O4)</f>
        <v>3.3792048929663583</v>
      </c>
      <c r="N3" s="31">
        <f>SUMPRODUCT('Puntuación nivel 1 ponderada'!$C3:$C4,'Puntuación nivel 1 ponderada'!P3:P4)</f>
        <v>1.6768109558129574E-4</v>
      </c>
      <c r="O3" s="31">
        <f>SUMPRODUCT('Puntuación nivel 1 ponderada'!$C3:$C4,'Puntuación nivel 1 ponderada'!Q3:Q4)</f>
        <v>1.1947375941656655</v>
      </c>
      <c r="P3" s="103">
        <f t="shared" ref="P3:P9" si="0">MIN(B3:O3)</f>
        <v>1.6768109558129574E-4</v>
      </c>
      <c r="Q3" s="101">
        <f t="shared" ref="Q3:Q9" si="1">MAX(B3:O3)</f>
        <v>10</v>
      </c>
      <c r="R3" s="101">
        <f t="shared" ref="R3:R9" si="2">1/(Q3-P3)</f>
        <v>0.10000167683907323</v>
      </c>
      <c r="S3" s="101">
        <f t="shared" ref="S3:S9" si="3">1-(Q3/(Q3-P3))</f>
        <v>-1.6768390732391225E-5</v>
      </c>
    </row>
    <row r="4" spans="1:19" ht="14.25" customHeight="1" thickTop="1" thickBot="1" x14ac:dyDescent="0.3">
      <c r="A4" s="46" t="s">
        <v>1</v>
      </c>
      <c r="B4" s="31">
        <f>SUMPRODUCT('Puntuación nivel 1 ponderada'!$C5,'Puntuación nivel 1 ponderada'!D5)</f>
        <v>7.9999999999999369</v>
      </c>
      <c r="C4" s="31">
        <f>SUMPRODUCT('Puntuación nivel 1 ponderada'!$C5,'Puntuación nivel 1 ponderada'!E5)</f>
        <v>7.9999967612538336</v>
      </c>
      <c r="D4" s="31">
        <f>SUMPRODUCT('Puntuación nivel 1 ponderada'!$C5,'Puntuación nivel 1 ponderada'!F5)</f>
        <v>4.2637806498830297</v>
      </c>
      <c r="E4" s="31">
        <f>SUMPRODUCT('Puntuación nivel 1 ponderada'!$C5,'Puntuación nivel 1 ponderada'!G5)</f>
        <v>6.0018406623754643</v>
      </c>
      <c r="F4" s="31">
        <f>SUMPRODUCT('Puntuación nivel 1 ponderada'!$C5,'Puntuación nivel 1 ponderada'!H5)</f>
        <v>4.2027322554572457</v>
      </c>
      <c r="G4" s="31">
        <f>SUMPRODUCT('Puntuación nivel 1 ponderada'!$C5,'Puntuación nivel 1 ponderada'!I5)</f>
        <v>5.9457462129097092</v>
      </c>
      <c r="H4" s="31">
        <f>SUMPRODUCT('Puntuación nivel 1 ponderada'!$C5,'Puntuación nivel 1 ponderada'!J5)</f>
        <v>1.9115987262886431</v>
      </c>
      <c r="I4" s="31">
        <f>SUMPRODUCT('Puntuación nivel 1 ponderada'!$C5,'Puntuación nivel 1 ponderada'!K5)</f>
        <v>3.4519424867340067</v>
      </c>
      <c r="J4" s="31">
        <f>SUMPRODUCT('Puntuación nivel 1 ponderada'!$C5,'Puntuación nivel 1 ponderada'!L5)</f>
        <v>1.8329204049426391</v>
      </c>
      <c r="K4" s="31">
        <f>SUMPRODUCT('Puntuación nivel 1 ponderada'!$C5,'Puntuación nivel 1 ponderada'!M5)</f>
        <v>3.4951486784456893</v>
      </c>
      <c r="L4" s="31">
        <f>SUMPRODUCT('Puntuación nivel 1 ponderada'!$C5,'Puntuación nivel 1 ponderada'!N5)</f>
        <v>1.9921022412553331</v>
      </c>
      <c r="M4" s="31">
        <f>SUMPRODUCT('Puntuación nivel 1 ponderada'!$C5,'Puntuación nivel 1 ponderada'!O5)</f>
        <v>3.6654072008504546</v>
      </c>
      <c r="N4" s="31">
        <f>SUMPRODUCT('Puntuación nivel 1 ponderada'!$C5,'Puntuación nivel 1 ponderada'!P5)</f>
        <v>1.9324779848325004</v>
      </c>
      <c r="O4" s="31">
        <f>SUMPRODUCT('Puntuación nivel 1 ponderada'!$C5,'Puntuación nivel 1 ponderada'!Q5)</f>
        <v>3.5963186042648871</v>
      </c>
      <c r="P4" s="103">
        <f t="shared" si="0"/>
        <v>1.8329204049426391</v>
      </c>
      <c r="Q4" s="101">
        <f t="shared" si="1"/>
        <v>7.9999999999999369</v>
      </c>
      <c r="R4" s="101">
        <f>1/(Q4-P4)</f>
        <v>0.16215130429019686</v>
      </c>
      <c r="S4" s="101">
        <f>1-(Q4/(Q4-P4))</f>
        <v>-0.29721043432156469</v>
      </c>
    </row>
    <row r="5" spans="1:19" ht="14.25" customHeight="1" thickTop="1" thickBot="1" x14ac:dyDescent="0.3">
      <c r="A5" s="46" t="s">
        <v>3</v>
      </c>
      <c r="B5" s="31">
        <f>SUMPRODUCT('Puntuación nivel 1 ponderada'!$C6:$C7,'Puntuación nivel 1 ponderada'!D6:D7)</f>
        <v>9.7749999999999986</v>
      </c>
      <c r="C5" s="31">
        <f>SUMPRODUCT('Puntuación nivel 1 ponderada'!$C6:$C7,'Puntuación nivel 1 ponderada'!E6:E7)</f>
        <v>10</v>
      </c>
      <c r="D5" s="31">
        <f>SUMPRODUCT('Puntuación nivel 1 ponderada'!$C6:$C7,'Puntuación nivel 1 ponderada'!F6:F7)</f>
        <v>3.6804287430142266</v>
      </c>
      <c r="E5" s="31">
        <f>SUMPRODUCT('Puntuación nivel 1 ponderada'!$C6:$C7,'Puntuación nivel 1 ponderada'!G6:G7)</f>
        <v>3.3439441883732912</v>
      </c>
      <c r="F5" s="31">
        <f>SUMPRODUCT('Puntuación nivel 1 ponderada'!$C6:$C7,'Puntuación nivel 1 ponderada'!H6:H7)</f>
        <v>3.4502161004255791</v>
      </c>
      <c r="G5" s="31">
        <f>SUMPRODUCT('Puntuación nivel 1 ponderada'!$C6:$C7,'Puntuación nivel 1 ponderada'!I6:I7)</f>
        <v>3.3403630196699057</v>
      </c>
      <c r="H5" s="31">
        <f>SUMPRODUCT('Puntuación nivel 1 ponderada'!$C6:$C7,'Puntuación nivel 1 ponderada'!J6:J7)</f>
        <v>3.8485447134318069</v>
      </c>
      <c r="I5" s="31">
        <f>SUMPRODUCT('Puntuación nivel 1 ponderada'!$C6:$C7,'Puntuación nivel 1 ponderada'!K6:K7)</f>
        <v>3.4919306226894236</v>
      </c>
      <c r="J5" s="31">
        <f>SUMPRODUCT('Puntuación nivel 1 ponderada'!$C6:$C7,'Puntuación nivel 1 ponderada'!L6:L7)</f>
        <v>3.6170930810565407</v>
      </c>
      <c r="K5" s="31">
        <f>SUMPRODUCT('Puntuación nivel 1 ponderada'!$C6:$C7,'Puntuación nivel 1 ponderada'!M6:M7)</f>
        <v>3.7235558650242861</v>
      </c>
      <c r="L5" s="31">
        <f>SUMPRODUCT('Puntuación nivel 1 ponderada'!$C6:$C7,'Puntuación nivel 1 ponderada'!N6:N7)</f>
        <v>2.4257935722070143</v>
      </c>
      <c r="M5" s="31">
        <f>SUMPRODUCT('Puntuación nivel 1 ponderada'!$C6:$C7,'Puntuación nivel 1 ponderada'!O6:O7)</f>
        <v>2.3092982044446684</v>
      </c>
      <c r="N5" s="31">
        <f>SUMPRODUCT('Puntuación nivel 1 ponderada'!$C6:$C7,'Puntuación nivel 1 ponderada'!P6:P7)</f>
        <v>2.368002164214436</v>
      </c>
      <c r="O5" s="31">
        <f>SUMPRODUCT('Puntuación nivel 1 ponderada'!$C6:$C7,'Puntuación nivel 1 ponderada'!Q6:Q7)</f>
        <v>2.2513627638990092</v>
      </c>
      <c r="P5" s="103">
        <f t="shared" si="0"/>
        <v>2.2513627638990092</v>
      </c>
      <c r="Q5" s="101">
        <f t="shared" si="1"/>
        <v>10</v>
      </c>
      <c r="R5" s="101">
        <f t="shared" si="2"/>
        <v>0.12905495115205398</v>
      </c>
      <c r="S5" s="101">
        <f t="shared" si="3"/>
        <v>-0.29054951152053987</v>
      </c>
    </row>
    <row r="6" spans="1:19" ht="14.25" customHeight="1" thickTop="1" thickBot="1" x14ac:dyDescent="0.3">
      <c r="A6" s="47" t="s">
        <v>9</v>
      </c>
      <c r="B6" s="31">
        <f>SUMPRODUCT('Puntuación nivel 1 ponderada'!$C8:$C8,'Puntuación nivel 1 ponderada'!D8:D8)</f>
        <v>5.1579601724407418</v>
      </c>
      <c r="C6" s="31">
        <f>SUMPRODUCT('Puntuación nivel 1 ponderada'!$C8:$C8,'Puntuación nivel 1 ponderada'!E8:E8)</f>
        <v>8.1287327527954005</v>
      </c>
      <c r="D6" s="31">
        <f>SUMPRODUCT('Puntuación nivel 1 ponderada'!$C8:$C8,'Puntuación nivel 1 ponderada'!F8:F8)</f>
        <v>2.508604505957476</v>
      </c>
      <c r="E6" s="31">
        <f>SUMPRODUCT('Puntuación nivel 1 ponderada'!$C8:$C8,'Puntuación nivel 1 ponderada'!G8:G8)</f>
        <v>6.3402456729615739</v>
      </c>
      <c r="F6" s="31">
        <f>SUMPRODUCT('Puntuación nivel 1 ponderada'!$C8:$C8,'Puntuación nivel 1 ponderada'!H8:H8)</f>
        <v>7.8125128377581516</v>
      </c>
      <c r="G6" s="31">
        <f>SUMPRODUCT('Puntuación nivel 1 ponderada'!$C8:$C8,'Puntuación nivel 1 ponderada'!I8:I8)</f>
        <v>7.8786177271651363</v>
      </c>
      <c r="H6" s="31">
        <f>SUMPRODUCT('Puntuación nivel 1 ponderada'!$C8:$C8,'Puntuación nivel 1 ponderada'!J8:J8)</f>
        <v>7.453004213027957</v>
      </c>
      <c r="I6" s="31">
        <f>SUMPRODUCT('Puntuación nivel 1 ponderada'!$C8:$C8,'Puntuación nivel 1 ponderada'!K8:K8)</f>
        <v>7.4316245091173716</v>
      </c>
      <c r="J6" s="31">
        <f>SUMPRODUCT('Puntuación nivel 1 ponderada'!$C8:$C8,'Puntuación nivel 1 ponderada'!L8:L8)</f>
        <v>9.928211752130931</v>
      </c>
      <c r="K6" s="31">
        <f>SUMPRODUCT('Puntuación nivel 1 ponderada'!$C8:$C8,'Puntuación nivel 1 ponderada'!M8:M8)</f>
        <v>9.9422344718484208</v>
      </c>
      <c r="L6" s="31">
        <f>SUMPRODUCT('Puntuación nivel 1 ponderada'!$C8:$C8,'Puntuación nivel 1 ponderada'!N8:N8)</f>
        <v>6.2117784258791744</v>
      </c>
      <c r="M6" s="31">
        <f>SUMPRODUCT('Puntuación nivel 1 ponderada'!$C8:$C8,'Puntuación nivel 1 ponderada'!O8:O8)</f>
        <v>6.2080020766646991</v>
      </c>
      <c r="N6" s="31">
        <f>SUMPRODUCT('Puntuación nivel 1 ponderada'!$C8:$C8,'Puntuación nivel 1 ponderada'!P8:P8)</f>
        <v>7.8830078671089581</v>
      </c>
      <c r="O6" s="31">
        <f>SUMPRODUCT('Puntuación nivel 1 ponderada'!$C8:$C8,'Puntuación nivel 1 ponderada'!Q8:Q8)</f>
        <v>7.8579424114622869</v>
      </c>
      <c r="P6" s="103">
        <f t="shared" si="0"/>
        <v>2.508604505957476</v>
      </c>
      <c r="Q6" s="101">
        <f t="shared" si="1"/>
        <v>9.9422344718484208</v>
      </c>
      <c r="R6" s="101">
        <f t="shared" si="2"/>
        <v>0.13452377971307142</v>
      </c>
      <c r="S6" s="101">
        <f t="shared" si="3"/>
        <v>-0.33746695994664178</v>
      </c>
    </row>
    <row r="7" spans="1:19" ht="13.5" customHeight="1" thickTop="1" thickBot="1" x14ac:dyDescent="0.3">
      <c r="A7" s="47" t="s">
        <v>12</v>
      </c>
      <c r="B7" s="31">
        <f>SUMPRODUCT('Puntuación nivel 1 ponderada'!$C9:$C13,'Puntuación nivel 1 ponderada'!D9:D13)</f>
        <v>6.9627694259871244</v>
      </c>
      <c r="C7" s="31">
        <f>SUMPRODUCT('Puntuación nivel 1 ponderada'!$C9:$C13,'Puntuación nivel 1 ponderada'!E9:E13)</f>
        <v>7.1823529411764699</v>
      </c>
      <c r="D7" s="31">
        <f>SUMPRODUCT('Puntuación nivel 1 ponderada'!$C9:$C13,'Puntuación nivel 1 ponderada'!F9:F13)</f>
        <v>2.1724797680659926</v>
      </c>
      <c r="E7" s="31">
        <f>SUMPRODUCT('Puntuación nivel 1 ponderada'!$C9:$C13,'Puntuación nivel 1 ponderada'!G9:G13)</f>
        <v>3.6869734371831648</v>
      </c>
      <c r="F7" s="31">
        <f>SUMPRODUCT('Puntuación nivel 1 ponderada'!$C9:$C13,'Puntuación nivel 1 ponderada'!H9:H13)</f>
        <v>2.4323930745618489</v>
      </c>
      <c r="G7" s="31">
        <f>SUMPRODUCT('Puntuación nivel 1 ponderada'!$C9:$C13,'Puntuación nivel 1 ponderada'!I9:I13)</f>
        <v>3.9440821582253887</v>
      </c>
      <c r="H7" s="31">
        <f>SUMPRODUCT('Puntuación nivel 1 ponderada'!$C9:$C13,'Puntuación nivel 1 ponderada'!J9:J13)</f>
        <v>7.4245502628278137</v>
      </c>
      <c r="I7" s="31">
        <f>SUMPRODUCT('Puntuación nivel 1 ponderada'!$C9:$C13,'Puntuación nivel 1 ponderada'!K9:K13)</f>
        <v>8.3712248516858239</v>
      </c>
      <c r="J7" s="31">
        <f>SUMPRODUCT('Puntuación nivel 1 ponderada'!$C9:$C13,'Puntuación nivel 1 ponderada'!L9:L13)</f>
        <v>7.7735241682171727</v>
      </c>
      <c r="K7" s="31">
        <f>SUMPRODUCT('Puntuación nivel 1 ponderada'!$C9:$C13,'Puntuación nivel 1 ponderada'!M9:M13)</f>
        <v>8.7001055167545953</v>
      </c>
      <c r="L7" s="31">
        <f>SUMPRODUCT('Puntuación nivel 1 ponderada'!$C9:$C13,'Puntuación nivel 1 ponderada'!N9:N13)</f>
        <v>5.3541142932187018</v>
      </c>
      <c r="M7" s="31">
        <f>SUMPRODUCT('Puntuación nivel 1 ponderada'!$C9:$C13,'Puntuación nivel 1 ponderada'!O9:O13)</f>
        <v>6.6073311188044643</v>
      </c>
      <c r="N7" s="31">
        <f>SUMPRODUCT('Puntuación nivel 1 ponderada'!$C9:$C13,'Puntuación nivel 1 ponderada'!P9:P13)</f>
        <v>5.7763289702789997</v>
      </c>
      <c r="O7" s="31">
        <f>SUMPRODUCT('Puntuación nivel 1 ponderada'!$C9:$C13,'Puntuación nivel 1 ponderada'!Q9:Q13)</f>
        <v>7.0313373925321025</v>
      </c>
      <c r="P7" s="103">
        <f t="shared" si="0"/>
        <v>2.1724797680659926</v>
      </c>
      <c r="Q7" s="101">
        <f t="shared" si="1"/>
        <v>8.7001055167545953</v>
      </c>
      <c r="R7" s="101">
        <f t="shared" si="2"/>
        <v>0.15319505720757651</v>
      </c>
      <c r="S7" s="101">
        <f t="shared" si="3"/>
        <v>-0.33281316235117231</v>
      </c>
    </row>
    <row r="8" spans="1:19" ht="14.25" customHeight="1" thickTop="1" thickBot="1" x14ac:dyDescent="0.3">
      <c r="A8" s="47" t="s">
        <v>18</v>
      </c>
      <c r="B8" s="31">
        <f>SUMPRODUCT('Puntuación nivel 1 ponderada'!$C14:$C16,'Puntuación nivel 1 ponderada'!D14:D16)</f>
        <v>8.4207201870238411</v>
      </c>
      <c r="C8" s="31">
        <f>SUMPRODUCT('Puntuación nivel 1 ponderada'!$C14:$C16,'Puntuación nivel 1 ponderada'!E14:E16)</f>
        <v>8.4207201870238411</v>
      </c>
      <c r="D8" s="31">
        <f>SUMPRODUCT('Puntuación nivel 1 ponderada'!$C14:$C16,'Puntuación nivel 1 ponderada'!F14:F16)</f>
        <v>2.5088024342501107</v>
      </c>
      <c r="E8" s="31">
        <f>SUMPRODUCT('Puntuación nivel 1 ponderada'!$C14:$C16,'Puntuación nivel 1 ponderada'!G14:G16)</f>
        <v>3.5451354197750042</v>
      </c>
      <c r="F8" s="31">
        <f>SUMPRODUCT('Puntuación nivel 1 ponderada'!$C14:$C16,'Puntuación nivel 1 ponderada'!H14:H16)</f>
        <v>4.9430229434911048</v>
      </c>
      <c r="G8" s="31">
        <f>SUMPRODUCT('Puntuación nivel 1 ponderada'!$C14:$C16,'Puntuación nivel 1 ponderada'!I14:I16)</f>
        <v>5.9793559290159983</v>
      </c>
      <c r="H8" s="31">
        <f>SUMPRODUCT('Puntuación nivel 1 ponderada'!$C14:$C16,'Puntuación nivel 1 ponderada'!J14:J16)</f>
        <v>5.1793103724578629</v>
      </c>
      <c r="I8" s="31">
        <f>SUMPRODUCT('Puntuación nivel 1 ponderada'!$C14:$C16,'Puntuación nivel 1 ponderada'!K14:K16)</f>
        <v>6.2156433579827572</v>
      </c>
      <c r="J8" s="31">
        <f>SUMPRODUCT('Puntuación nivel 1 ponderada'!$C14:$C16,'Puntuación nivel 1 ponderada'!L14:L16)</f>
        <v>5.4208811897319977</v>
      </c>
      <c r="K8" s="31">
        <f>SUMPRODUCT('Puntuación nivel 1 ponderada'!$C14:$C16,'Puntuación nivel 1 ponderada'!M14:M16)</f>
        <v>6.4572141752568921</v>
      </c>
      <c r="L8" s="31">
        <f>SUMPRODUCT('Puntuación nivel 1 ponderada'!$C14:$C16,'Puntuación nivel 1 ponderada'!N14:N16)</f>
        <v>5.8701122429395998</v>
      </c>
      <c r="M8" s="31">
        <f>SUMPRODUCT('Puntuación nivel 1 ponderada'!$C14:$C16,'Puntuación nivel 1 ponderada'!O14:O16)</f>
        <v>6.9359263605399661</v>
      </c>
      <c r="N8" s="31">
        <f>SUMPRODUCT('Puntuación nivel 1 ponderada'!$C14:$C16,'Puntuación nivel 1 ponderada'!P14:P16)</f>
        <v>6.1094069532670554</v>
      </c>
      <c r="O8" s="31">
        <f>SUMPRODUCT('Puntuación nivel 1 ponderada'!$C14:$C16,'Puntuación nivel 1 ponderada'!Q14:Q16)</f>
        <v>7.1752210708674209</v>
      </c>
      <c r="P8" s="103">
        <f t="shared" si="0"/>
        <v>2.5088024342501107</v>
      </c>
      <c r="Q8" s="101">
        <f t="shared" si="1"/>
        <v>8.4207201870238411</v>
      </c>
      <c r="R8" s="101">
        <f t="shared" si="2"/>
        <v>0.16914984981494777</v>
      </c>
      <c r="S8" s="101">
        <f t="shared" si="3"/>
        <v>-0.42436355496878164</v>
      </c>
    </row>
    <row r="9" spans="1:19" ht="14.25" customHeight="1" thickTop="1" thickBot="1" x14ac:dyDescent="0.3">
      <c r="A9" s="46" t="s">
        <v>62</v>
      </c>
      <c r="B9" s="31">
        <f>'Puntuación nivel 1 ponderada'!$C17*'Puntuación nivel 1 ponderada'!D17</f>
        <v>8.8823424830601976</v>
      </c>
      <c r="C9" s="31">
        <f>'Puntuación nivel 1 ponderada'!$C17*'Puntuación nivel 1 ponderada'!E17</f>
        <v>10</v>
      </c>
      <c r="D9" s="31">
        <f>'Puntuación nivel 1 ponderada'!$C17*'Puntuación nivel 1 ponderada'!F17</f>
        <v>1.1613342830750035</v>
      </c>
      <c r="E9" s="31">
        <f>'Puntuación nivel 1 ponderada'!$C17*'Puntuación nivel 1 ponderada'!G17</f>
        <v>2.4415324055292089</v>
      </c>
      <c r="F9" s="31">
        <f>'Puntuación nivel 1 ponderada'!$C17*'Puntuación nivel 1 ponderada'!H17</f>
        <v>2.6552587534706245</v>
      </c>
      <c r="G9" s="31">
        <f>'Puntuación nivel 1 ponderada'!$C17*'Puntuación nivel 1 ponderada'!I17</f>
        <v>3.9066743946775073</v>
      </c>
      <c r="H9" s="31">
        <f>'Puntuación nivel 1 ponderada'!$C17*'Puntuación nivel 1 ponderada'!J17</f>
        <v>0.14003649580404876</v>
      </c>
      <c r="I9" s="31">
        <f>'Puntuación nivel 1 ponderada'!$C17*'Puntuación nivel 1 ponderada'!K17</f>
        <v>1.3776924563026718</v>
      </c>
      <c r="J9" s="31">
        <f>'Puntuación nivel 1 ponderada'!$C17*'Puntuación nivel 1 ponderada'!L17</f>
        <v>1.4509152874759739</v>
      </c>
      <c r="K9" s="31">
        <f>'Puntuación nivel 1 ponderada'!$C17*'Puntuación nivel 1 ponderada'!M17</f>
        <v>2.7507064727067068</v>
      </c>
      <c r="L9" s="31">
        <f>'Puntuación nivel 1 ponderada'!$C17*'Puntuación nivel 1 ponderada'!N17</f>
        <v>4.0660736975858924E-2</v>
      </c>
      <c r="M9" s="31">
        <f>'Puntuación nivel 1 ponderada'!$C17*'Puntuación nivel 1 ponderada'!O17</f>
        <v>1.3643856706394306</v>
      </c>
      <c r="N9" s="31">
        <f>'Puntuación nivel 1 ponderada'!$C17*'Puntuación nivel 1 ponderada'!P17</f>
        <v>1.3633126254493266</v>
      </c>
      <c r="O9" s="31">
        <f>'Puntuación nivel 1 ponderada'!$C17*'Puntuación nivel 1 ponderada'!Q17</f>
        <v>2.5965687761852294</v>
      </c>
      <c r="P9" s="103">
        <f t="shared" si="0"/>
        <v>4.0660736975858924E-2</v>
      </c>
      <c r="Q9" s="101">
        <f t="shared" si="1"/>
        <v>10</v>
      </c>
      <c r="R9" s="101">
        <f t="shared" si="2"/>
        <v>0.10040826741515695</v>
      </c>
      <c r="S9" s="101">
        <f t="shared" si="3"/>
        <v>-4.0826741515693765E-3</v>
      </c>
    </row>
    <row r="10" spans="1:19" ht="13.5" customHeight="1" thickTop="1" x14ac:dyDescent="0.25">
      <c r="A10" s="158" t="s">
        <v>60</v>
      </c>
      <c r="B10" s="217">
        <f t="shared" ref="B10:O10" si="4">SUM(B3:B9)</f>
        <v>57.198792268511838</v>
      </c>
      <c r="C10" s="217">
        <f t="shared" si="4"/>
        <v>58.612621419704411</v>
      </c>
      <c r="D10" s="217">
        <f t="shared" si="4"/>
        <v>22.273004288425248</v>
      </c>
      <c r="E10" s="217">
        <f t="shared" si="4"/>
        <v>30.782709502813404</v>
      </c>
      <c r="F10" s="217">
        <f t="shared" si="4"/>
        <v>28.372215365131325</v>
      </c>
      <c r="G10" s="217">
        <f t="shared" si="4"/>
        <v>33.71746505493654</v>
      </c>
      <c r="H10" s="217">
        <f t="shared" si="4"/>
        <v>30.936657424001233</v>
      </c>
      <c r="I10" s="217">
        <f t="shared" si="4"/>
        <v>35.04138346290145</v>
      </c>
      <c r="J10" s="217">
        <f t="shared" si="4"/>
        <v>33.281445985492049</v>
      </c>
      <c r="K10" s="217">
        <f t="shared" si="4"/>
        <v>37.630707636635876</v>
      </c>
      <c r="L10" s="217">
        <f t="shared" si="4"/>
        <v>26.181615538979244</v>
      </c>
      <c r="M10" s="217">
        <f t="shared" si="4"/>
        <v>30.469555524910042</v>
      </c>
      <c r="N10" s="217">
        <f t="shared" si="4"/>
        <v>25.432704246246857</v>
      </c>
      <c r="O10" s="217">
        <f t="shared" si="4"/>
        <v>31.703488613376599</v>
      </c>
      <c r="R10" s="45"/>
      <c r="S10" s="45"/>
    </row>
    <row r="11" spans="1:19" ht="13.8" thickBot="1" x14ac:dyDescent="0.3">
      <c r="A11" s="220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R11" s="45"/>
      <c r="S11" s="45"/>
    </row>
    <row r="12" spans="1:19" ht="13.8" thickTop="1" x14ac:dyDescent="0.25">
      <c r="R12" s="45"/>
      <c r="S12" s="45"/>
    </row>
    <row r="13" spans="1:19" ht="14.25" customHeight="1" x14ac:dyDescent="0.25">
      <c r="A13" s="1" t="s">
        <v>46</v>
      </c>
      <c r="B13" t="str">
        <f t="shared" ref="B13:H13" si="5">IF(B10=MAX($B$10:$O$11),"X"," ")</f>
        <v xml:space="preserve"> </v>
      </c>
      <c r="C13" s="24" t="str">
        <f t="shared" si="5"/>
        <v>X</v>
      </c>
      <c r="D13" t="str">
        <f t="shared" si="5"/>
        <v xml:space="preserve"> </v>
      </c>
      <c r="E13" t="str">
        <f t="shared" si="5"/>
        <v xml:space="preserve"> </v>
      </c>
      <c r="F13" t="str">
        <f t="shared" si="5"/>
        <v xml:space="preserve"> </v>
      </c>
      <c r="G13" t="str">
        <f t="shared" si="5"/>
        <v xml:space="preserve"> </v>
      </c>
      <c r="H13" t="str">
        <f t="shared" si="5"/>
        <v xml:space="preserve"> </v>
      </c>
      <c r="I13" t="str">
        <f t="shared" ref="I13:O13" si="6">IF(I10=MAX($B$10:$O$11),"X"," ")</f>
        <v xml:space="preserve"> </v>
      </c>
      <c r="J13" t="str">
        <f t="shared" si="6"/>
        <v xml:space="preserve"> </v>
      </c>
      <c r="K13" t="str">
        <f t="shared" si="6"/>
        <v xml:space="preserve"> </v>
      </c>
      <c r="L13" t="str">
        <f t="shared" si="6"/>
        <v xml:space="preserve"> </v>
      </c>
      <c r="M13" t="str">
        <f t="shared" si="6"/>
        <v xml:space="preserve"> </v>
      </c>
      <c r="N13" t="str">
        <f t="shared" si="6"/>
        <v xml:space="preserve"> </v>
      </c>
      <c r="O13" t="str">
        <f t="shared" si="6"/>
        <v xml:space="preserve"> </v>
      </c>
      <c r="P13" s="45"/>
      <c r="Q13" s="45"/>
      <c r="R13" s="45"/>
      <c r="S13" s="45"/>
    </row>
    <row r="14" spans="1:19" x14ac:dyDescent="0.25">
      <c r="R14" s="45"/>
      <c r="S14" s="45"/>
    </row>
    <row r="15" spans="1:19" x14ac:dyDescent="0.25">
      <c r="P15" s="45"/>
      <c r="Q15" s="45"/>
      <c r="R15" s="45"/>
      <c r="S15" s="45"/>
    </row>
    <row r="16" spans="1:19" x14ac:dyDescent="0.25">
      <c r="P16" s="45"/>
      <c r="Q16" s="45"/>
      <c r="R16" s="45"/>
      <c r="S16" s="45"/>
    </row>
    <row r="17" spans="16:19" x14ac:dyDescent="0.25">
      <c r="P17" s="45"/>
      <c r="Q17" s="45"/>
      <c r="R17" s="45"/>
      <c r="S17" s="45"/>
    </row>
    <row r="18" spans="16:19" x14ac:dyDescent="0.25">
      <c r="R18" s="45"/>
      <c r="S18" s="45"/>
    </row>
    <row r="19" spans="16:19" x14ac:dyDescent="0.25">
      <c r="R19" s="45"/>
      <c r="S19" s="45"/>
    </row>
    <row r="20" spans="16:19" x14ac:dyDescent="0.25">
      <c r="R20" s="45"/>
      <c r="S20" s="45"/>
    </row>
    <row r="21" spans="16:19" x14ac:dyDescent="0.25">
      <c r="R21" s="45"/>
      <c r="S21" s="45"/>
    </row>
    <row r="22" spans="16:19" x14ac:dyDescent="0.25">
      <c r="R22" s="45"/>
      <c r="S22" s="45"/>
    </row>
    <row r="23" spans="16:19" x14ac:dyDescent="0.25">
      <c r="R23" s="45"/>
      <c r="S23" s="45"/>
    </row>
    <row r="24" spans="16:19" x14ac:dyDescent="0.25">
      <c r="R24" s="45"/>
      <c r="S24" s="45"/>
    </row>
    <row r="25" spans="16:19" x14ac:dyDescent="0.25">
      <c r="R25" s="45"/>
      <c r="S25" s="45"/>
    </row>
    <row r="26" spans="16:19" x14ac:dyDescent="0.25">
      <c r="R26" s="45"/>
      <c r="S26" s="45"/>
    </row>
    <row r="27" spans="16:19" x14ac:dyDescent="0.25">
      <c r="R27" s="45"/>
      <c r="S27" s="45"/>
    </row>
    <row r="28" spans="16:19" x14ac:dyDescent="0.25">
      <c r="R28" s="45"/>
      <c r="S28" s="45"/>
    </row>
    <row r="29" spans="16:19" x14ac:dyDescent="0.25">
      <c r="R29" s="45"/>
      <c r="S29" s="45"/>
    </row>
    <row r="30" spans="16:19" x14ac:dyDescent="0.25">
      <c r="R30" s="45"/>
      <c r="S30" s="45"/>
    </row>
    <row r="31" spans="16:19" x14ac:dyDescent="0.25">
      <c r="R31" s="45"/>
      <c r="S31" s="45"/>
    </row>
    <row r="32" spans="16:19" x14ac:dyDescent="0.25">
      <c r="R32" s="45"/>
      <c r="S32" s="45"/>
    </row>
    <row r="33" spans="18:19" x14ac:dyDescent="0.25">
      <c r="R33" s="45"/>
      <c r="S33" s="45"/>
    </row>
    <row r="34" spans="18:19" x14ac:dyDescent="0.25">
      <c r="R34" s="45"/>
      <c r="S34" s="45"/>
    </row>
    <row r="35" spans="18:19" x14ac:dyDescent="0.25">
      <c r="R35" s="45"/>
      <c r="S35" s="45"/>
    </row>
    <row r="36" spans="18:19" x14ac:dyDescent="0.25">
      <c r="R36" s="45"/>
      <c r="S36" s="45"/>
    </row>
    <row r="37" spans="18:19" x14ac:dyDescent="0.25">
      <c r="R37" s="45"/>
      <c r="S37" s="45"/>
    </row>
    <row r="38" spans="18:19" x14ac:dyDescent="0.25">
      <c r="R38" s="45"/>
      <c r="S38" s="45"/>
    </row>
    <row r="39" spans="18:19" x14ac:dyDescent="0.25">
      <c r="R39" s="45"/>
      <c r="S39" s="45"/>
    </row>
    <row r="40" spans="18:19" x14ac:dyDescent="0.25">
      <c r="R40" s="45"/>
      <c r="S40" s="45"/>
    </row>
    <row r="41" spans="18:19" x14ac:dyDescent="0.25">
      <c r="R41" s="45"/>
      <c r="S41" s="45"/>
    </row>
    <row r="42" spans="18:19" x14ac:dyDescent="0.25">
      <c r="R42" s="45"/>
      <c r="S42" s="45"/>
    </row>
    <row r="43" spans="18:19" x14ac:dyDescent="0.25">
      <c r="R43" s="45"/>
      <c r="S43" s="45"/>
    </row>
    <row r="44" spans="18:19" x14ac:dyDescent="0.25">
      <c r="R44" s="45"/>
      <c r="S44" s="45"/>
    </row>
    <row r="45" spans="18:19" x14ac:dyDescent="0.25">
      <c r="R45" s="45"/>
      <c r="S45" s="45"/>
    </row>
    <row r="46" spans="18:19" x14ac:dyDescent="0.25">
      <c r="R46" s="45"/>
      <c r="S46" s="45"/>
    </row>
    <row r="47" spans="18:19" x14ac:dyDescent="0.25">
      <c r="R47" s="45"/>
      <c r="S47" s="45"/>
    </row>
    <row r="48" spans="18:19" x14ac:dyDescent="0.25">
      <c r="R48" s="45"/>
      <c r="S48" s="45"/>
    </row>
    <row r="49" spans="18:19" x14ac:dyDescent="0.25">
      <c r="R49" s="45"/>
      <c r="S49" s="45"/>
    </row>
    <row r="50" spans="18:19" x14ac:dyDescent="0.25">
      <c r="R50" s="45"/>
      <c r="S50" s="45"/>
    </row>
    <row r="51" spans="18:19" x14ac:dyDescent="0.25">
      <c r="R51" s="45"/>
      <c r="S51" s="45"/>
    </row>
    <row r="52" spans="18:19" x14ac:dyDescent="0.25">
      <c r="R52" s="45"/>
      <c r="S52" s="45"/>
    </row>
    <row r="53" spans="18:19" x14ac:dyDescent="0.25">
      <c r="R53" s="45"/>
      <c r="S53" s="45"/>
    </row>
    <row r="54" spans="18:19" x14ac:dyDescent="0.25">
      <c r="R54" s="45"/>
      <c r="S54" s="45"/>
    </row>
    <row r="55" spans="18:19" x14ac:dyDescent="0.25">
      <c r="R55" s="45"/>
      <c r="S55" s="45"/>
    </row>
    <row r="56" spans="18:19" x14ac:dyDescent="0.25">
      <c r="R56" s="45"/>
      <c r="S56" s="45"/>
    </row>
    <row r="57" spans="18:19" x14ac:dyDescent="0.25">
      <c r="R57" s="45"/>
      <c r="S57" s="45"/>
    </row>
    <row r="58" spans="18:19" x14ac:dyDescent="0.25">
      <c r="R58" s="45"/>
      <c r="S58" s="45"/>
    </row>
    <row r="59" spans="18:19" x14ac:dyDescent="0.25">
      <c r="R59" s="45"/>
      <c r="S59" s="45"/>
    </row>
    <row r="60" spans="18:19" x14ac:dyDescent="0.25">
      <c r="R60" s="45"/>
      <c r="S60" s="45"/>
    </row>
    <row r="61" spans="18:19" x14ac:dyDescent="0.25">
      <c r="R61" s="45"/>
      <c r="S61" s="45"/>
    </row>
    <row r="62" spans="18:19" x14ac:dyDescent="0.25">
      <c r="R62" s="45"/>
      <c r="S62" s="45"/>
    </row>
    <row r="63" spans="18:19" x14ac:dyDescent="0.25">
      <c r="R63" s="45"/>
      <c r="S63" s="45"/>
    </row>
    <row r="64" spans="18:19" x14ac:dyDescent="0.25">
      <c r="R64" s="45"/>
      <c r="S64" s="45"/>
    </row>
    <row r="65" spans="18:19" x14ac:dyDescent="0.25">
      <c r="R65" s="45"/>
      <c r="S65" s="45"/>
    </row>
    <row r="66" spans="18:19" x14ac:dyDescent="0.25">
      <c r="R66" s="45"/>
      <c r="S66" s="45"/>
    </row>
    <row r="67" spans="18:19" x14ac:dyDescent="0.25">
      <c r="R67" s="45"/>
      <c r="S67" s="45"/>
    </row>
    <row r="68" spans="18:19" x14ac:dyDescent="0.25">
      <c r="R68" s="45"/>
      <c r="S68" s="45"/>
    </row>
    <row r="69" spans="18:19" x14ac:dyDescent="0.25">
      <c r="R69" s="45"/>
      <c r="S69" s="45"/>
    </row>
    <row r="70" spans="18:19" x14ac:dyDescent="0.25">
      <c r="R70" s="45"/>
      <c r="S70" s="45"/>
    </row>
    <row r="71" spans="18:19" x14ac:dyDescent="0.25">
      <c r="R71" s="45"/>
      <c r="S71" s="45"/>
    </row>
    <row r="72" spans="18:19" x14ac:dyDescent="0.25">
      <c r="R72" s="45"/>
      <c r="S72" s="45"/>
    </row>
    <row r="73" spans="18:19" x14ac:dyDescent="0.25">
      <c r="R73" s="45"/>
      <c r="S73" s="45"/>
    </row>
    <row r="74" spans="18:19" x14ac:dyDescent="0.25">
      <c r="R74" s="45"/>
      <c r="S74" s="45"/>
    </row>
    <row r="75" spans="18:19" x14ac:dyDescent="0.25">
      <c r="R75" s="45"/>
      <c r="S75" s="45"/>
    </row>
    <row r="76" spans="18:19" x14ac:dyDescent="0.25">
      <c r="R76" s="45"/>
      <c r="S76" s="45"/>
    </row>
    <row r="77" spans="18:19" x14ac:dyDescent="0.25">
      <c r="R77" s="45"/>
      <c r="S77" s="45"/>
    </row>
    <row r="78" spans="18:19" x14ac:dyDescent="0.25">
      <c r="R78" s="45"/>
      <c r="S78" s="45"/>
    </row>
    <row r="79" spans="18:19" x14ac:dyDescent="0.25">
      <c r="R79" s="45"/>
      <c r="S79" s="45"/>
    </row>
    <row r="80" spans="18:19" x14ac:dyDescent="0.25">
      <c r="R80" s="45"/>
      <c r="S80" s="45"/>
    </row>
  </sheetData>
  <mergeCells count="18">
    <mergeCell ref="R1:S1"/>
    <mergeCell ref="K10:K11"/>
    <mergeCell ref="L10:L11"/>
    <mergeCell ref="M10:M11"/>
    <mergeCell ref="N10:N11"/>
    <mergeCell ref="P1:Q1"/>
    <mergeCell ref="B1:O1"/>
    <mergeCell ref="O10:O11"/>
    <mergeCell ref="A10:A11"/>
    <mergeCell ref="B10:B11"/>
    <mergeCell ref="C10:C11"/>
    <mergeCell ref="H10:H11"/>
    <mergeCell ref="J10:J11"/>
    <mergeCell ref="D10:D11"/>
    <mergeCell ref="E10:E11"/>
    <mergeCell ref="F10:F11"/>
    <mergeCell ref="G10:G11"/>
    <mergeCell ref="I10:I11"/>
  </mergeCells>
  <phoneticPr fontId="14" type="noConversion"/>
  <pageMargins left="0.7" right="0.7" top="0.75" bottom="0.75" header="0.3" footer="0.3"/>
  <pageSetup paperSize="8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S1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O9"/>
    </sheetView>
  </sheetViews>
  <sheetFormatPr baseColWidth="10" defaultRowHeight="13.2" x14ac:dyDescent="0.25"/>
  <cols>
    <col min="1" max="1" width="36.109375" customWidth="1"/>
    <col min="2" max="15" width="10.33203125" customWidth="1"/>
    <col min="16" max="45" width="11.44140625" style="10" customWidth="1"/>
  </cols>
  <sheetData>
    <row r="1" spans="1:15" ht="16.8" thickTop="1" thickBot="1" x14ac:dyDescent="0.3">
      <c r="A1" s="16" t="s">
        <v>25</v>
      </c>
      <c r="B1" s="156" t="s">
        <v>47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16.8" thickTop="1" thickBot="1" x14ac:dyDescent="0.35">
      <c r="A2" s="36" t="s">
        <v>45</v>
      </c>
      <c r="B2" s="2" t="s">
        <v>88</v>
      </c>
      <c r="C2" s="2" t="s">
        <v>27</v>
      </c>
      <c r="D2" s="2" t="s">
        <v>89</v>
      </c>
      <c r="E2" s="2" t="s">
        <v>28</v>
      </c>
      <c r="F2" s="2" t="s">
        <v>29</v>
      </c>
      <c r="G2" s="2" t="s">
        <v>41</v>
      </c>
      <c r="H2" s="2" t="s">
        <v>90</v>
      </c>
      <c r="I2" s="2" t="s">
        <v>30</v>
      </c>
      <c r="J2" s="2" t="s">
        <v>31</v>
      </c>
      <c r="K2" s="2" t="s">
        <v>40</v>
      </c>
      <c r="L2" s="2" t="s">
        <v>91</v>
      </c>
      <c r="M2" s="2" t="s">
        <v>39</v>
      </c>
      <c r="N2" s="2" t="s">
        <v>92</v>
      </c>
      <c r="O2" s="2" t="s">
        <v>93</v>
      </c>
    </row>
    <row r="3" spans="1:15" ht="13.5" customHeight="1" thickTop="1" thickBot="1" x14ac:dyDescent="0.3">
      <c r="A3" s="46" t="s">
        <v>0</v>
      </c>
      <c r="B3" s="31">
        <f>'Puntuación nivel 2 ponderada'!B3*'Puntuación nivel 2 ponderada'!$R3+'Puntuación nivel 2 ponderada'!$S3</f>
        <v>0.99999999999999978</v>
      </c>
      <c r="C3" s="31">
        <f>'Puntuación nivel 2 ponderada'!C3*'Puntuación nivel 2 ponderada'!$R3+'Puntuación nivel 2 ponderada'!$S3</f>
        <v>0.68807664738053609</v>
      </c>
      <c r="D3" s="31">
        <f>'Puntuación nivel 2 ponderada'!D3*'Puntuación nivel 2 ponderada'!$R3+'Puntuación nivel 2 ponderada'!$S3</f>
        <v>0.5977506454566941</v>
      </c>
      <c r="E3" s="31">
        <f>'Puntuación nivel 2 ponderada'!E3*'Puntuación nivel 2 ponderada'!$R3+'Puntuación nivel 2 ponderada'!$S3</f>
        <v>0.54229609683237612</v>
      </c>
      <c r="F3" s="31">
        <f>'Puntuación nivel 2 ponderada'!F3*'Puntuación nivel 2 ponderada'!$R3+'Puntuación nivel 2 ponderada'!$S3</f>
        <v>0.2875959943282605</v>
      </c>
      <c r="G3" s="31">
        <f>'Puntuación nivel 2 ponderada'!G3*'Puntuación nivel 2 ponderada'!$R3+'Puntuación nivel 2 ponderada'!$S3</f>
        <v>0.27225035834156763</v>
      </c>
      <c r="H3" s="31">
        <f>'Puntuación nivel 2 ponderada'!H3*'Puntuación nivel 2 ponderada'!$R3+'Puntuación nivel 2 ponderada'!$S3</f>
        <v>0.49795284563462189</v>
      </c>
      <c r="I3" s="31">
        <f>'Puntuación nivel 2 ponderada'!I3*'Puntuación nivel 2 ponderada'!$R3+'Puntuación nivel 2 ponderada'!$S3</f>
        <v>0.47012363281396241</v>
      </c>
      <c r="J3" s="31">
        <f>'Puntuación nivel 2 ponderada'!J3*'Puntuación nivel 2 ponderada'!$R3+'Puntuación nivel 2 ponderada'!$S3</f>
        <v>0.325778704777135</v>
      </c>
      <c r="K3" s="31">
        <f>'Puntuación nivel 2 ponderada'!K3*'Puntuación nivel 2 ponderada'!$R3+'Puntuación nivel 2 ponderada'!$S3</f>
        <v>0.25616177289904252</v>
      </c>
      <c r="L3" s="31">
        <f>'Puntuación nivel 2 ponderada'!L3*'Puntuación nivel 2 ponderada'!$R3+'Puntuación nivel 2 ponderada'!$S3</f>
        <v>0.42869582295932479</v>
      </c>
      <c r="M3" s="31">
        <f>'Puntuación nivel 2 ponderada'!M3*'Puntuación nivel 2 ponderada'!$R3+'Puntuación nivel 2 ponderada'!$S3</f>
        <v>0.3379093872887044</v>
      </c>
      <c r="N3" s="31">
        <f>'Puntuación nivel 2 ponderada'!N3*'Puntuación nivel 2 ponderada'!$R3+'Puntuación nivel 2 ponderada'!$S3</f>
        <v>-4.8738275785012442E-17</v>
      </c>
      <c r="O3" s="31">
        <f>'Puntuación nivel 2 ponderada'!O3*'Puntuación nivel 2 ponderada'!$R3+'Puntuación nivel 2 ponderada'!$S3</f>
        <v>0.1194589944085143</v>
      </c>
    </row>
    <row r="4" spans="1:15" ht="14.25" customHeight="1" thickTop="1" thickBot="1" x14ac:dyDescent="0.3">
      <c r="A4" s="46" t="s">
        <v>1</v>
      </c>
      <c r="B4" s="31">
        <f>'Puntuación nivel 2 ponderada'!B4*'Puntuación nivel 2 ponderada'!$R4+'Puntuación nivel 2 ponderada'!$S4</f>
        <v>1</v>
      </c>
      <c r="C4" s="31">
        <f>'Puntuación nivel 2 ponderada'!C4*'Puntuación nivel 2 ponderada'!$R4+'Puntuación nivel 2 ponderada'!$S4</f>
        <v>0.99999947483309515</v>
      </c>
      <c r="D4" s="31">
        <f>'Puntuación nivel 2 ponderada'!D4*'Puntuación nivel 2 ponderada'!$R4+'Puntuación nivel 2 ponderada'!$S4</f>
        <v>0.39416715926427182</v>
      </c>
      <c r="E4" s="31">
        <f>'Puntuación nivel 2 ponderada'!E4*'Puntuación nivel 2 ponderada'!$R4+'Puntuación nivel 2 ponderada'!$S4</f>
        <v>0.67599585722455591</v>
      </c>
      <c r="F4" s="31">
        <f>'Puntuación nivel 2 ponderada'!F4*'Puntuación nivel 2 ponderada'!$R4+'Puntuación nivel 2 ponderada'!$S4</f>
        <v>0.38426808248330857</v>
      </c>
      <c r="G4" s="31">
        <f>'Puntuación nivel 2 ponderada'!G4*'Puntuación nivel 2 ponderada'!$R4+'Puntuación nivel 2 ponderada'!$S4</f>
        <v>0.66690006908024324</v>
      </c>
      <c r="H4" s="31">
        <f>'Puntuación nivel 2 ponderada'!H4*'Puntuación nivel 2 ponderada'!$R4+'Puntuación nivel 2 ponderada'!$S4</f>
        <v>1.2757792425617809E-2</v>
      </c>
      <c r="I4" s="31">
        <f>'Puntuación nivel 2 ponderada'!I4*'Puntuación nivel 2 ponderada'!$R4+'Puntuación nivel 2 ponderada'!$S4</f>
        <v>0.26252654223710004</v>
      </c>
      <c r="J4" s="31">
        <f>'Puntuación nivel 2 ponderada'!J4*'Puntuación nivel 2 ponderada'!$R4+'Puntuación nivel 2 ponderada'!$S4</f>
        <v>0</v>
      </c>
      <c r="K4" s="31">
        <f>'Puntuación nivel 2 ponderada'!K4*'Puntuación nivel 2 ponderada'!$R4+'Puntuación nivel 2 ponderada'!$S4</f>
        <v>0.2695324825765617</v>
      </c>
      <c r="L4" s="31">
        <f>'Puntuación nivel 2 ponderada'!L4*'Puntuación nivel 2 ponderada'!$R4+'Puntuación nivel 2 ponderada'!$S4</f>
        <v>2.5811542377412011E-2</v>
      </c>
      <c r="M4" s="31">
        <f>'Puntuación nivel 2 ponderada'!M4*'Puntuación nivel 2 ponderada'!$R4+'Puntuación nivel 2 ponderada'!$S4</f>
        <v>0.29714012405101609</v>
      </c>
      <c r="N4" s="31">
        <f>'Puntuación nivel 2 ponderada'!N4*'Puntuación nivel 2 ponderada'!$R4+'Puntuación nivel 2 ponderada'!$S4</f>
        <v>1.6143391431116538E-2</v>
      </c>
      <c r="O4" s="31">
        <f>'Puntuación nivel 2 ponderada'!O4*'Puntuación nivel 2 ponderada'!$R4+'Puntuación nivel 2 ponderada'!$S4</f>
        <v>0.28593731800308708</v>
      </c>
    </row>
    <row r="5" spans="1:15" ht="14.25" customHeight="1" thickTop="1" thickBot="1" x14ac:dyDescent="0.3">
      <c r="A5" s="46" t="s">
        <v>3</v>
      </c>
      <c r="B5" s="31">
        <f>'Puntuación nivel 2 ponderada'!B5*'Puntuación nivel 2 ponderada'!$R5+'Puntuación nivel 2 ponderada'!$S5</f>
        <v>0.97096263599078769</v>
      </c>
      <c r="C5" s="31">
        <f>'Puntuación nivel 2 ponderada'!C5*'Puntuación nivel 2 ponderada'!$R5+'Puntuación nivel 2 ponderada'!$S5</f>
        <v>1</v>
      </c>
      <c r="D5" s="31">
        <f>'Puntuación nivel 2 ponderada'!D5*'Puntuación nivel 2 ponderada'!$R5+'Puntuación nivel 2 ponderada'!$S5</f>
        <v>0.18442804012777658</v>
      </c>
      <c r="E5" s="31">
        <f>'Puntuación nivel 2 ponderada'!E5*'Puntuación nivel 2 ponderada'!$R5+'Puntuación nivel 2 ponderada'!$S5</f>
        <v>0.14100304236517003</v>
      </c>
      <c r="F5" s="31">
        <f>'Puntuación nivel 2 ponderada'!F5*'Puntuación nivel 2 ponderada'!$R5+'Puntuación nivel 2 ponderada'!$S5</f>
        <v>0.15471795878391342</v>
      </c>
      <c r="G5" s="31">
        <f>'Puntuación nivel 2 ponderada'!G5*'Puntuación nivel 2 ponderada'!$R5+'Puntuación nivel 2 ponderada'!$S5</f>
        <v>0.14054087481308736</v>
      </c>
      <c r="H5" s="31">
        <f>'Puntuación nivel 2 ponderada'!H5*'Puntuación nivel 2 ponderada'!$R5+'Puntuación nivel 2 ponderada'!$S5</f>
        <v>0.20612423847789757</v>
      </c>
      <c r="I5" s="31">
        <f>'Puntuación nivel 2 ponderada'!I5*'Puntuación nivel 2 ponderada'!$R5+'Puntuación nivel 2 ponderada'!$S5</f>
        <v>0.16010142441700514</v>
      </c>
      <c r="J5" s="31">
        <f>'Puntuación nivel 2 ponderada'!J5*'Puntuación nivel 2 ponderada'!$R5+'Puntuación nivel 2 ponderada'!$S5</f>
        <v>0.17625425936764444</v>
      </c>
      <c r="K5" s="31">
        <f>'Puntuación nivel 2 ponderada'!K5*'Puntuación nivel 2 ponderada'!$R5+'Puntuación nivel 2 ponderada'!$S5</f>
        <v>0.18999380875211347</v>
      </c>
      <c r="L5" s="31">
        <f>'Puntuación nivel 2 ponderada'!L5*'Puntuación nivel 2 ponderada'!$R5+'Puntuación nivel 2 ponderada'!$S5</f>
        <v>2.2511159445602891E-2</v>
      </c>
      <c r="M5" s="31">
        <f>'Puntuación nivel 2 ponderada'!M5*'Puntuación nivel 2 ponderada'!$R5+'Puntuación nivel 2 ponderada'!$S5</f>
        <v>7.4768554495927564E-3</v>
      </c>
      <c r="N5" s="31">
        <f>'Puntuación nivel 2 ponderada'!N5*'Puntuación nivel 2 ponderada'!$R5+'Puntuación nivel 2 ponderada'!$S5</f>
        <v>1.5052892110112293E-2</v>
      </c>
      <c r="O5" s="31">
        <f>'Puntuación nivel 2 ponderada'!O5*'Puntuación nivel 2 ponderada'!$R5+'Puntuación nivel 2 ponderada'!$S5</f>
        <v>0</v>
      </c>
    </row>
    <row r="6" spans="1:15" ht="14.25" customHeight="1" thickTop="1" thickBot="1" x14ac:dyDescent="0.3">
      <c r="A6" s="47" t="s">
        <v>9</v>
      </c>
      <c r="B6" s="31">
        <f>'Puntuación nivel 2 ponderada'!B6*'Puntuación nivel 2 ponderada'!$R6+'Puntuación nivel 2 ponderada'!$S6</f>
        <v>0.35640133805957241</v>
      </c>
      <c r="C6" s="31">
        <f>'Puntuación nivel 2 ponderada'!C6*'Puntuación nivel 2 ponderada'!$R6+'Puntuación nivel 2 ponderada'!$S6</f>
        <v>0.75604089423683529</v>
      </c>
      <c r="D6" s="31">
        <f>'Puntuación nivel 2 ponderada'!D6*'Puntuación nivel 2 ponderada'!$R6+'Puntuación nivel 2 ponderada'!$S6</f>
        <v>0</v>
      </c>
      <c r="E6" s="31">
        <f>'Puntuación nivel 2 ponderada'!E6*'Puntuación nivel 2 ponderada'!$R6+'Puntuación nivel 2 ponderada'!$S6</f>
        <v>0.51544685228959519</v>
      </c>
      <c r="F6" s="31">
        <f>'Puntuación nivel 2 ponderada'!F6*'Puntuación nivel 2 ponderada'!$R6+'Puntuación nivel 2 ponderada'!$S6</f>
        <v>0.71350179604547836</v>
      </c>
      <c r="G6" s="31">
        <f>'Puntuación nivel 2 ponderada'!G6*'Puntuación nivel 2 ponderada'!$R6+'Puntuación nivel 2 ponderada'!$S6</f>
        <v>0.72239447562602033</v>
      </c>
      <c r="H6" s="31">
        <f>'Puntuación nivel 2 ponderada'!H6*'Puntuación nivel 2 ponderada'!$R6+'Puntuación nivel 2 ponderada'!$S6</f>
        <v>0.66513933700732442</v>
      </c>
      <c r="I6" s="31">
        <f>'Puntuación nivel 2 ponderada'!I6*'Puntuación nivel 2 ponderada'!$R6+'Puntuación nivel 2 ponderada'!$S6</f>
        <v>0.66226325842812606</v>
      </c>
      <c r="J6" s="31">
        <f>'Puntuación nivel 2 ponderada'!J6*'Puntuación nivel 2 ponderada'!$R6+'Puntuación nivel 2 ponderada'!$S6</f>
        <v>0.99811361074174632</v>
      </c>
      <c r="K6" s="31">
        <f>'Puntuación nivel 2 ponderada'!K6*'Puntuación nivel 2 ponderada'!$R6+'Puntuación nivel 2 ponderada'!$S6</f>
        <v>1.0000000000000002</v>
      </c>
      <c r="L6" s="31">
        <f>'Puntuación nivel 2 ponderada'!L6*'Puntuación nivel 2 ponderada'!$R6+'Puntuación nivel 2 ponderada'!$S6</f>
        <v>0.49816495264273786</v>
      </c>
      <c r="M6" s="31">
        <f>'Puntuación nivel 2 ponderada'!M6*'Puntuación nivel 2 ponderada'!$R6+'Puntuación nivel 2 ponderada'!$S6</f>
        <v>0.49765694387289006</v>
      </c>
      <c r="N6" s="31">
        <f>'Puntuación nivel 2 ponderada'!N6*'Puntuación nivel 2 ponderada'!$R6+'Puntuación nivel 2 ponderada'!$S6</f>
        <v>0.72298505384473266</v>
      </c>
      <c r="O6" s="31">
        <f>'Puntuación nivel 2 ponderada'!O6*'Puntuación nivel 2 ponderada'!$R6+'Puntuación nivel 2 ponderada'!$S6</f>
        <v>0.71961315401091208</v>
      </c>
    </row>
    <row r="7" spans="1:15" ht="13.5" customHeight="1" thickTop="1" thickBot="1" x14ac:dyDescent="0.3">
      <c r="A7" s="47" t="s">
        <v>12</v>
      </c>
      <c r="B7" s="31">
        <f>'Puntuación nivel 2 ponderada'!B7*'Puntuación nivel 2 ponderada'!$R7+'Puntuación nivel 2 ponderada'!$S7</f>
        <v>0.73384869818608989</v>
      </c>
      <c r="C7" s="31">
        <f>'Puntuación nivel 2 ponderada'!C7*'Puntuación nivel 2 ponderada'!$R7+'Puntuación nivel 2 ponderada'!$S7</f>
        <v>0.76748780735736233</v>
      </c>
      <c r="D7" s="31">
        <f>'Puntuación nivel 2 ponderada'!D7*'Puntuación nivel 2 ponderada'!$R7+'Puntuación nivel 2 ponderada'!$S7</f>
        <v>0</v>
      </c>
      <c r="E7" s="31">
        <f>'Puntuación nivel 2 ponderada'!E7*'Puntuación nivel 2 ponderada'!$R7+'Puntuación nivel 2 ponderada'!$S7</f>
        <v>0.23201294428091757</v>
      </c>
      <c r="F7" s="31">
        <f>'Puntuación nivel 2 ponderada'!F7*'Puntuación nivel 2 ponderada'!$R7+'Puntuación nivel 2 ponderada'!$S7</f>
        <v>3.9817433857643025E-2</v>
      </c>
      <c r="G7" s="31">
        <f>'Puntuación nivel 2 ponderada'!G7*'Puntuación nivel 2 ponderada'!$R7+'Puntuación nivel 2 ponderada'!$S7</f>
        <v>0.27140072950954797</v>
      </c>
      <c r="H7" s="31">
        <f>'Puntuación nivel 2 ponderada'!H7*'Puntuación nivel 2 ponderada'!$R7+'Puntuación nivel 2 ponderada'!$S7</f>
        <v>0.80459123990326176</v>
      </c>
      <c r="I7" s="31">
        <f>'Puntuación nivel 2 ponderada'!I7*'Puntuación nivel 2 ponderada'!$R7+'Puntuación nivel 2 ponderada'!$S7</f>
        <v>0.9496171077003237</v>
      </c>
      <c r="J7" s="31">
        <f>'Puntuación nivel 2 ponderada'!J7*'Puntuación nivel 2 ponderada'!$R7+'Puntuación nivel 2 ponderada'!$S7</f>
        <v>0.85805231730333609</v>
      </c>
      <c r="K7" s="31">
        <f>'Puntuación nivel 2 ponderada'!K7*'Puntuación nivel 2 ponderada'!$R7+'Puntuación nivel 2 ponderada'!$S7</f>
        <v>1</v>
      </c>
      <c r="L7" s="31">
        <f>'Puntuación nivel 2 ponderada'!L7*'Puntuación nivel 2 ponderada'!$R7+'Puntuación nivel 2 ponderada'!$S7</f>
        <v>0.48741068309436975</v>
      </c>
      <c r="M7" s="31">
        <f>'Puntuación nivel 2 ponderada'!M7*'Puntuación nivel 2 ponderada'!$R7+'Puntuación nivel 2 ponderada'!$S7</f>
        <v>0.67939730638347817</v>
      </c>
      <c r="N7" s="31">
        <f>'Puntuación nivel 2 ponderada'!N7*'Puntuación nivel 2 ponderada'!$R7+'Puntuación nivel 2 ponderada'!$S7</f>
        <v>0.55209188470050052</v>
      </c>
      <c r="O7" s="31">
        <f>'Puntuación nivel 2 ponderada'!O7*'Puntuación nivel 2 ponderada'!$R7+'Puntuación nivel 2 ponderada'!$S7</f>
        <v>0.74435297174355508</v>
      </c>
    </row>
    <row r="8" spans="1:15" ht="14.25" customHeight="1" thickTop="1" thickBot="1" x14ac:dyDescent="0.3">
      <c r="A8" s="47" t="s">
        <v>18</v>
      </c>
      <c r="B8" s="31">
        <f>'Puntuación nivel 2 ponderada'!B8*'Puntuación nivel 2 ponderada'!$R8+'Puntuación nivel 2 ponderada'!$S8</f>
        <v>1</v>
      </c>
      <c r="C8" s="31">
        <f>'Puntuación nivel 2 ponderada'!C8*'Puntuación nivel 2 ponderada'!$R8+'Puntuación nivel 2 ponderada'!$S8</f>
        <v>1</v>
      </c>
      <c r="D8" s="31">
        <f>'Puntuación nivel 2 ponderada'!D8*'Puntuación nivel 2 ponderada'!$R8+'Puntuación nivel 2 ponderada'!$S8</f>
        <v>0</v>
      </c>
      <c r="E8" s="31">
        <f>'Puntuación nivel 2 ponderada'!E8*'Puntuación nivel 2 ponderada'!$R8+'Puntuación nivel 2 ponderada'!$S8</f>
        <v>0.17529556885981212</v>
      </c>
      <c r="F8" s="31">
        <f>'Puntuación nivel 2 ponderada'!F8*'Puntuación nivel 2 ponderada'!$R8+'Puntuación nivel 2 ponderada'!$S8</f>
        <v>0.41174803355457978</v>
      </c>
      <c r="G8" s="31">
        <f>'Puntuación nivel 2 ponderada'!G8*'Puntuación nivel 2 ponderada'!$R8+'Puntuación nivel 2 ponderada'!$S8</f>
        <v>0.58704360241439191</v>
      </c>
      <c r="H8" s="31">
        <f>'Puntuación nivel 2 ponderada'!H8*'Puntuación nivel 2 ponderada'!$R8+'Puntuación nivel 2 ponderada'!$S8</f>
        <v>0.45171601667746708</v>
      </c>
      <c r="I8" s="31">
        <f>'Puntuación nivel 2 ponderada'!I8*'Puntuación nivel 2 ponderada'!$R8+'Puntuación nivel 2 ponderada'!$S8</f>
        <v>0.62701158553727931</v>
      </c>
      <c r="J8" s="31">
        <f>'Puntuación nivel 2 ponderada'!J8*'Puntuación nivel 2 ponderada'!$R8+'Puntuación nivel 2 ponderada'!$S8</f>
        <v>0.49257768413906111</v>
      </c>
      <c r="K8" s="31">
        <f>'Puntuación nivel 2 ponderada'!K8*'Puntuación nivel 2 ponderada'!$R8+'Puntuación nivel 2 ponderada'!$S8</f>
        <v>0.66787325299887357</v>
      </c>
      <c r="L8" s="31">
        <f>'Puntuación nivel 2 ponderada'!L8*'Puntuación nivel 2 ponderada'!$R8+'Puntuación nivel 2 ponderada'!$S8</f>
        <v>0.56856504932133789</v>
      </c>
      <c r="M8" s="31">
        <f>'Puntuación nivel 2 ponderada'!M8*'Puntuación nivel 2 ponderada'!$R8+'Puntuación nivel 2 ponderada'!$S8</f>
        <v>0.74884734724409086</v>
      </c>
      <c r="N8" s="31">
        <f>'Puntuación nivel 2 ponderada'!N8*'Puntuación nivel 2 ponderada'!$R8+'Puntuación nivel 2 ponderada'!$S8</f>
        <v>0.60904171363473836</v>
      </c>
      <c r="O8" s="31">
        <f>'Puntuación nivel 2 ponderada'!O8*'Puntuación nivel 2 ponderada'!$R8+'Puntuación nivel 2 ponderada'!$S8</f>
        <v>0.78932401155749132</v>
      </c>
    </row>
    <row r="9" spans="1:15" ht="14.25" customHeight="1" thickTop="1" thickBot="1" x14ac:dyDescent="0.3">
      <c r="A9" s="46" t="s">
        <v>62</v>
      </c>
      <c r="B9" s="31">
        <f>'Puntuación nivel 2 ponderada'!B9*'Puntuación nivel 2 ponderada'!$R9+'Puntuación nivel 2 ponderada'!$S9</f>
        <v>0.88777794516054809</v>
      </c>
      <c r="C9" s="31">
        <f>'Puntuación nivel 2 ponderada'!C9*'Puntuación nivel 2 ponderada'!$R9+'Puntuación nivel 2 ponderada'!$S9</f>
        <v>1</v>
      </c>
      <c r="D9" s="31">
        <f>'Puntuación nivel 2 ponderada'!D9*'Puntuación nivel 2 ponderada'!$R9+'Puntuación nivel 2 ponderada'!$S9</f>
        <v>0.11252488910181516</v>
      </c>
      <c r="E9" s="31">
        <f>'Puntuación nivel 2 ponderada'!E9*'Puntuación nivel 2 ponderada'!$R9+'Puntuación nivel 2 ponderada'!$S9</f>
        <v>0.24106736452557884</v>
      </c>
      <c r="F9" s="31">
        <f>'Puntuación nivel 2 ponderada'!F9*'Puntuación nivel 2 ponderada'!$R9+'Puntuación nivel 2 ponderada'!$S9</f>
        <v>0.26252725682334538</v>
      </c>
      <c r="G9" s="31">
        <f>'Puntuación nivel 2 ponderada'!G9*'Puntuación nivel 2 ponderada'!$R9+'Puntuación nivel 2 ponderada'!$S9</f>
        <v>0.38817973317315618</v>
      </c>
      <c r="H9" s="31">
        <f>'Puntuación nivel 2 ponderada'!H9*'Puntuación nivel 2 ponderada'!$R9+'Puntuación nivel 2 ponderada'!$S9</f>
        <v>9.9781477670050547E-3</v>
      </c>
      <c r="I9" s="31">
        <f>'Puntuación nivel 2 ponderada'!I9*'Puntuación nivel 2 ponderada'!$R9+'Puntuación nivel 2 ponderada'!$S9</f>
        <v>0.13424903841671371</v>
      </c>
      <c r="J9" s="31">
        <f>'Puntuación nivel 2 ponderada'!J9*'Puntuación nivel 2 ponderada'!$R9+'Puntuación nivel 2 ponderada'!$S9</f>
        <v>0.14160121603005751</v>
      </c>
      <c r="K9" s="31">
        <f>'Puntuación nivel 2 ponderada'!K9*'Puntuación nivel 2 ponderada'!$R9+'Puntuación nivel 2 ponderada'!$S9</f>
        <v>0.27211099694056873</v>
      </c>
      <c r="L9" s="31">
        <f>'Puntuación nivel 2 ponderada'!L9*'Puntuación nivel 2 ponderada'!$R9+'Puntuación nivel 2 ponderada'!$S9</f>
        <v>2.6020852139652106E-17</v>
      </c>
      <c r="M9" s="31">
        <f>'Puntuación nivel 2 ponderada'!M9*'Puntuación nivel 2 ponderada'!$R9+'Puntuación nivel 2 ponderada'!$S9</f>
        <v>0.13291292712340283</v>
      </c>
      <c r="N9" s="31">
        <f>'Puntuación nivel 2 ponderada'!N9*'Puntuación nivel 2 ponderada'!$R9+'Puntuación nivel 2 ponderada'!$S9</f>
        <v>0.13280518451500631</v>
      </c>
      <c r="O9" s="31">
        <f>'Puntuación nivel 2 ponderada'!O9*'Puntuación nivel 2 ponderada'!$R9+'Puntuación nivel 2 ponderada'!$S9</f>
        <v>0.25663429788948394</v>
      </c>
    </row>
    <row r="10" spans="1:15" ht="13.5" customHeight="1" thickTop="1" x14ac:dyDescent="0.25">
      <c r="A10" s="158" t="s">
        <v>64</v>
      </c>
      <c r="B10" s="217">
        <f t="shared" ref="B10:O10" si="0">SUM(B3:B9)</f>
        <v>5.9489906173969969</v>
      </c>
      <c r="C10" s="217">
        <f t="shared" si="0"/>
        <v>6.2116048238078285</v>
      </c>
      <c r="D10" s="217">
        <f t="shared" si="0"/>
        <v>1.2888707339505576</v>
      </c>
      <c r="E10" s="217">
        <f t="shared" si="0"/>
        <v>2.5231177263780058</v>
      </c>
      <c r="F10" s="217">
        <f t="shared" si="0"/>
        <v>2.254176555876529</v>
      </c>
      <c r="G10" s="217">
        <f t="shared" si="0"/>
        <v>3.0487098429580142</v>
      </c>
      <c r="H10" s="217">
        <f t="shared" si="0"/>
        <v>2.6482596178931961</v>
      </c>
      <c r="I10" s="217">
        <f t="shared" si="0"/>
        <v>3.2658925895505106</v>
      </c>
      <c r="J10" s="217">
        <f t="shared" si="0"/>
        <v>2.9923777923589805</v>
      </c>
      <c r="K10" s="217">
        <f t="shared" si="0"/>
        <v>3.6556723141671603</v>
      </c>
      <c r="L10" s="217">
        <f t="shared" si="0"/>
        <v>2.0311592098407854</v>
      </c>
      <c r="M10" s="217">
        <f t="shared" si="0"/>
        <v>2.7013408914131749</v>
      </c>
      <c r="N10" s="217">
        <f t="shared" si="0"/>
        <v>2.0481201202362067</v>
      </c>
      <c r="O10" s="217">
        <f t="shared" si="0"/>
        <v>2.9153207476130438</v>
      </c>
    </row>
    <row r="11" spans="1:15" ht="13.8" thickBot="1" x14ac:dyDescent="0.3">
      <c r="A11" s="220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</row>
    <row r="12" spans="1:15" ht="13.8" thickTop="1" x14ac:dyDescent="0.25"/>
    <row r="13" spans="1:15" ht="14.25" customHeight="1" x14ac:dyDescent="0.25">
      <c r="A13" s="1" t="s">
        <v>46</v>
      </c>
      <c r="B13" s="144" t="s">
        <v>102</v>
      </c>
      <c r="C13" s="24" t="str">
        <f t="shared" ref="C13:N13" si="1">IF(C10=MAX($B$10:$O$11),"X"," ")</f>
        <v>X</v>
      </c>
      <c r="D13" s="24" t="str">
        <f t="shared" si="1"/>
        <v xml:space="preserve"> </v>
      </c>
      <c r="E13" s="24" t="str">
        <f t="shared" si="1"/>
        <v xml:space="preserve"> </v>
      </c>
      <c r="F13" s="24" t="str">
        <f t="shared" si="1"/>
        <v xml:space="preserve"> </v>
      </c>
      <c r="G13" s="24" t="str">
        <f t="shared" si="1"/>
        <v xml:space="preserve"> </v>
      </c>
      <c r="H13" s="24" t="str">
        <f t="shared" si="1"/>
        <v xml:space="preserve"> </v>
      </c>
      <c r="I13" s="24" t="str">
        <f t="shared" si="1"/>
        <v xml:space="preserve"> </v>
      </c>
      <c r="J13" s="24" t="str">
        <f t="shared" si="1"/>
        <v xml:space="preserve"> </v>
      </c>
      <c r="K13" s="24" t="str">
        <f t="shared" si="1"/>
        <v xml:space="preserve"> </v>
      </c>
      <c r="L13" s="24" t="str">
        <f t="shared" si="1"/>
        <v xml:space="preserve"> </v>
      </c>
      <c r="M13" s="24" t="str">
        <f t="shared" si="1"/>
        <v xml:space="preserve"> </v>
      </c>
      <c r="N13" s="24" t="str">
        <f t="shared" si="1"/>
        <v xml:space="preserve"> </v>
      </c>
      <c r="O13" s="24" t="str">
        <f>IF(O10=MAX($B$10:$O$11),"X"," ")</f>
        <v xml:space="preserve"> </v>
      </c>
    </row>
    <row r="15" spans="1:15" x14ac:dyDescent="0.25"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</sheetData>
  <mergeCells count="16">
    <mergeCell ref="B1:O1"/>
    <mergeCell ref="A10:A11"/>
    <mergeCell ref="B10:B11"/>
    <mergeCell ref="C10:C11"/>
    <mergeCell ref="D10:D11"/>
    <mergeCell ref="E10:E11"/>
    <mergeCell ref="F10:F11"/>
    <mergeCell ref="N10:N11"/>
    <mergeCell ref="O10:O11"/>
    <mergeCell ref="G10:G11"/>
    <mergeCell ref="H10:H11"/>
    <mergeCell ref="J10:J11"/>
    <mergeCell ref="K10:K11"/>
    <mergeCell ref="L10:L11"/>
    <mergeCell ref="M10:M11"/>
    <mergeCell ref="I10:I11"/>
  </mergeCells>
  <phoneticPr fontId="14" type="noConversion"/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Indicadores y valoración</vt:lpstr>
      <vt:lpstr>Medición de indicadores</vt:lpstr>
      <vt:lpstr>Puntuación nivel 1 sin ponderar</vt:lpstr>
      <vt:lpstr>Puntuación nivel 1 ponderada</vt:lpstr>
      <vt:lpstr>Puntuación nivel 2 ponderada</vt:lpstr>
      <vt:lpstr>Modelo numérico </vt:lpstr>
      <vt:lpstr>'Medición de indicadores'!Área_de_impresión</vt:lpstr>
    </vt:vector>
  </TitlesOfParts>
  <Company>Metropolitano de Tenerife,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Parra Hermida</dc:creator>
  <cp:lastModifiedBy>Pablo Oromí Fragoso</cp:lastModifiedBy>
  <cp:lastPrinted>2014-01-20T09:59:37Z</cp:lastPrinted>
  <dcterms:created xsi:type="dcterms:W3CDTF">2012-02-24T10:32:48Z</dcterms:created>
  <dcterms:modified xsi:type="dcterms:W3CDTF">2014-04-25T14:26:47Z</dcterms:modified>
</cp:coreProperties>
</file>