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ULL\SUSTITUCIÓN PLAZA NDLT0590_2021\Complementos TFG\"/>
    </mc:Choice>
  </mc:AlternateContent>
  <xr:revisionPtr revIDLastSave="0" documentId="13_ncr:1_{E2B1F73E-E30D-4B6B-BBF8-ACB862E51FEB}" xr6:coauthVersionLast="47" xr6:coauthVersionMax="47" xr10:uidLastSave="{00000000-0000-0000-0000-000000000000}"/>
  <bookViews>
    <workbookView xWindow="-120" yWindow="-120" windowWidth="29040" windowHeight="15720" firstSheet="6" activeTab="10" xr2:uid="{EBB08FBB-BCB5-4D43-8E7C-377301C43EE0}"/>
  </bookViews>
  <sheets>
    <sheet name="Demanda ENERO" sheetId="1" r:id="rId1"/>
    <sheet name="Demanda MAYO" sheetId="4" r:id="rId2"/>
    <sheet name="Demanda AGOSTO" sheetId="5" r:id="rId3"/>
    <sheet name="Capacidad sistema HP ENERO" sheetId="2" r:id="rId4"/>
    <sheet name="Capacidad sistema HP MAYO" sheetId="6" r:id="rId5"/>
    <sheet name="Capacidad sistema HP AGOSTO" sheetId="7" r:id="rId6"/>
    <sheet name="Número de tranvías" sheetId="3" r:id="rId7"/>
    <sheet name="Oferta servicio" sheetId="13" r:id="rId8"/>
    <sheet name="Producción kilométrica" sheetId="8" r:id="rId9"/>
    <sheet name="Nº de conductores" sheetId="9" r:id="rId10"/>
    <sheet name="Nº técnicos mantenimiento mr" sheetId="10" r:id="rId11"/>
    <sheet name="Nº controladores" sheetId="11" r:id="rId12"/>
  </sheets>
  <externalReferences>
    <externalReference r:id="rId13"/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9" l="1"/>
  <c r="B32" i="9"/>
  <c r="B34" i="9"/>
  <c r="B35" i="9"/>
  <c r="B19" i="9"/>
  <c r="B20" i="9"/>
  <c r="B21" i="9"/>
  <c r="B22" i="9"/>
  <c r="B18" i="9"/>
  <c r="B12" i="9"/>
  <c r="B16" i="9"/>
  <c r="B15" i="9"/>
  <c r="B14" i="9"/>
  <c r="B13" i="9"/>
  <c r="B17" i="9"/>
  <c r="B11" i="9"/>
  <c r="B9" i="9"/>
  <c r="B8" i="9"/>
  <c r="I3" i="8"/>
  <c r="D4" i="13"/>
  <c r="C3" i="8" s="1"/>
  <c r="F6" i="3" l="1" a="1"/>
  <c r="F6" i="3" s="1"/>
  <c r="C6" i="3"/>
  <c r="B6" i="3" a="1"/>
  <c r="B6" i="3" s="1"/>
  <c r="G18" i="3"/>
  <c r="G17" i="3"/>
  <c r="F10" i="3"/>
  <c r="G5" i="3"/>
  <c r="F5" i="3"/>
  <c r="H4" i="8"/>
  <c r="H3" i="8"/>
  <c r="C14" i="8"/>
  <c r="C13" i="8"/>
  <c r="C4" i="8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B10" i="3"/>
  <c r="G30" i="3" s="1"/>
  <c r="G35" i="3" l="1"/>
  <c r="G34" i="3"/>
  <c r="G31" i="3"/>
  <c r="G21" i="3"/>
  <c r="G33" i="3"/>
  <c r="G32" i="3"/>
  <c r="G22" i="3"/>
  <c r="G23" i="3"/>
  <c r="G24" i="3"/>
  <c r="G36" i="3"/>
  <c r="G20" i="3"/>
  <c r="G25" i="3"/>
  <c r="G37" i="3"/>
  <c r="C38" i="3"/>
  <c r="G26" i="3"/>
  <c r="G38" i="3"/>
  <c r="G16" i="3"/>
  <c r="G28" i="3"/>
  <c r="G19" i="3"/>
  <c r="G15" i="3"/>
  <c r="G29" i="3"/>
  <c r="G27" i="3"/>
  <c r="F12" i="3"/>
  <c r="G6" i="3"/>
  <c r="V47" i="10"/>
  <c r="B5" i="11"/>
  <c r="B4" i="11"/>
  <c r="B3" i="11"/>
  <c r="B9" i="11" s="1"/>
  <c r="B11" i="11" s="1"/>
  <c r="C22" i="1" l="1"/>
  <c r="D18" i="8" l="1"/>
  <c r="E18" i="8" s="1"/>
  <c r="E17" i="8"/>
  <c r="K3" i="8" s="1"/>
  <c r="D16" i="8"/>
  <c r="E16" i="8" s="1"/>
  <c r="E15" i="8"/>
  <c r="D6" i="8"/>
  <c r="E6" i="8" s="1"/>
  <c r="E5" i="8"/>
  <c r="J3" i="8" s="1"/>
  <c r="D8" i="8"/>
  <c r="E8" i="8" s="1"/>
  <c r="E7" i="8"/>
  <c r="D4" i="8"/>
  <c r="D14" i="8" s="1"/>
  <c r="D3" i="8"/>
  <c r="D13" i="8" s="1"/>
  <c r="E3" i="8" l="1"/>
  <c r="K4" i="8"/>
  <c r="J4" i="8"/>
  <c r="E4" i="8"/>
  <c r="I4" i="8" s="1"/>
  <c r="E14" i="8"/>
  <c r="E13" i="8"/>
  <c r="L3" i="8" l="1"/>
  <c r="E9" i="8"/>
  <c r="L4" i="8"/>
  <c r="E19" i="8"/>
  <c r="C5" i="3"/>
  <c r="G16" i="2"/>
  <c r="G12" i="2"/>
  <c r="G21" i="2" s="1"/>
  <c r="H70" i="2" s="1"/>
  <c r="G8" i="2"/>
  <c r="G4" i="2"/>
  <c r="G16" i="6"/>
  <c r="G12" i="6"/>
  <c r="G8" i="6"/>
  <c r="G21" i="6" s="1"/>
  <c r="G4" i="6"/>
  <c r="G16" i="7"/>
  <c r="G12" i="7"/>
  <c r="G8" i="7"/>
  <c r="G21" i="7" s="1"/>
  <c r="H71" i="7" s="1"/>
  <c r="G4" i="7"/>
  <c r="D72" i="7"/>
  <c r="D71" i="7"/>
  <c r="D70" i="7"/>
  <c r="D69" i="7"/>
  <c r="D68" i="7"/>
  <c r="D67" i="7"/>
  <c r="I67" i="7" s="1"/>
  <c r="D66" i="7"/>
  <c r="D65" i="7"/>
  <c r="D64" i="7"/>
  <c r="D63" i="7"/>
  <c r="D62" i="7"/>
  <c r="D61" i="7"/>
  <c r="D60" i="7"/>
  <c r="D59" i="7"/>
  <c r="D45" i="7"/>
  <c r="D44" i="7"/>
  <c r="D43" i="7"/>
  <c r="D42" i="7"/>
  <c r="I42" i="7" s="1"/>
  <c r="D41" i="7"/>
  <c r="I41" i="7" s="1"/>
  <c r="D40" i="7"/>
  <c r="D39" i="7"/>
  <c r="D38" i="7"/>
  <c r="D37" i="7"/>
  <c r="D36" i="7"/>
  <c r="D35" i="7"/>
  <c r="D34" i="7"/>
  <c r="D33" i="7"/>
  <c r="D32" i="7"/>
  <c r="B72" i="7"/>
  <c r="I72" i="7" s="1"/>
  <c r="B71" i="7"/>
  <c r="I71" i="7" s="1"/>
  <c r="B70" i="7"/>
  <c r="B69" i="7"/>
  <c r="B68" i="7"/>
  <c r="B67" i="7"/>
  <c r="B66" i="7"/>
  <c r="I66" i="7" s="1"/>
  <c r="B65" i="7"/>
  <c r="B64" i="7"/>
  <c r="B63" i="7"/>
  <c r="I63" i="7" s="1"/>
  <c r="B62" i="7"/>
  <c r="B61" i="7"/>
  <c r="B60" i="7"/>
  <c r="B59" i="7"/>
  <c r="I59" i="7" s="1"/>
  <c r="B45" i="7"/>
  <c r="I45" i="7" s="1"/>
  <c r="B44" i="7"/>
  <c r="B43" i="7"/>
  <c r="B42" i="7"/>
  <c r="B41" i="7"/>
  <c r="B40" i="7"/>
  <c r="I40" i="7" s="1"/>
  <c r="B39" i="7"/>
  <c r="B38" i="7"/>
  <c r="I38" i="7" s="1"/>
  <c r="B37" i="7"/>
  <c r="B36" i="7"/>
  <c r="B35" i="7"/>
  <c r="I35" i="7" s="1"/>
  <c r="B34" i="7"/>
  <c r="B33" i="7"/>
  <c r="B32" i="7"/>
  <c r="E72" i="7"/>
  <c r="E71" i="7"/>
  <c r="E70" i="7"/>
  <c r="E69" i="7"/>
  <c r="E68" i="7"/>
  <c r="E67" i="7"/>
  <c r="E66" i="7"/>
  <c r="E65" i="7"/>
  <c r="I64" i="7"/>
  <c r="E64" i="7"/>
  <c r="E63" i="7"/>
  <c r="E62" i="7"/>
  <c r="E61" i="7"/>
  <c r="I60" i="7"/>
  <c r="E60" i="7"/>
  <c r="E59" i="7"/>
  <c r="E45" i="7"/>
  <c r="I44" i="7"/>
  <c r="E44" i="7"/>
  <c r="E43" i="7"/>
  <c r="E42" i="7"/>
  <c r="E41" i="7"/>
  <c r="E40" i="7"/>
  <c r="E39" i="7"/>
  <c r="E38" i="7"/>
  <c r="E37" i="7"/>
  <c r="E36" i="7"/>
  <c r="E35" i="7"/>
  <c r="E34" i="7"/>
  <c r="I34" i="7"/>
  <c r="E33" i="7"/>
  <c r="E32" i="7"/>
  <c r="C69" i="5"/>
  <c r="AF65" i="5"/>
  <c r="AF66" i="5" s="1"/>
  <c r="T65" i="5"/>
  <c r="T66" i="5" s="1"/>
  <c r="T67" i="5" s="1"/>
  <c r="T68" i="5" s="1"/>
  <c r="T69" i="5" s="1"/>
  <c r="T70" i="5" s="1"/>
  <c r="T71" i="5" s="1"/>
  <c r="T72" i="5" s="1"/>
  <c r="T73" i="5" s="1"/>
  <c r="T74" i="5" s="1"/>
  <c r="T75" i="5" s="1"/>
  <c r="T76" i="5" s="1"/>
  <c r="T77" i="5" s="1"/>
  <c r="T78" i="5" s="1"/>
  <c r="T79" i="5" s="1"/>
  <c r="E65" i="5"/>
  <c r="E66" i="5" s="1"/>
  <c r="E67" i="5" s="1"/>
  <c r="E68" i="5" s="1"/>
  <c r="E69" i="5" s="1"/>
  <c r="E70" i="5" s="1"/>
  <c r="E71" i="5" s="1"/>
  <c r="E72" i="5" s="1"/>
  <c r="E73" i="5" s="1"/>
  <c r="E74" i="5" s="1"/>
  <c r="E75" i="5" s="1"/>
  <c r="E76" i="5" s="1"/>
  <c r="E77" i="5" s="1"/>
  <c r="E78" i="5" s="1"/>
  <c r="E79" i="5" s="1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I59" i="6"/>
  <c r="B45" i="6"/>
  <c r="B44" i="6"/>
  <c r="B43" i="6"/>
  <c r="B42" i="6"/>
  <c r="B41" i="6"/>
  <c r="B40" i="6"/>
  <c r="B39" i="6"/>
  <c r="B38" i="6"/>
  <c r="B37" i="6"/>
  <c r="B36" i="6"/>
  <c r="I36" i="6" s="1"/>
  <c r="B35" i="6"/>
  <c r="B34" i="6"/>
  <c r="I34" i="6" s="1"/>
  <c r="B33" i="6"/>
  <c r="B32" i="6"/>
  <c r="I40" i="6"/>
  <c r="D72" i="6"/>
  <c r="D71" i="6"/>
  <c r="D70" i="6"/>
  <c r="D69" i="6"/>
  <c r="D68" i="6"/>
  <c r="I68" i="6" s="1"/>
  <c r="D67" i="6"/>
  <c r="D66" i="6"/>
  <c r="I66" i="6" s="1"/>
  <c r="D65" i="6"/>
  <c r="D64" i="6"/>
  <c r="D63" i="6"/>
  <c r="D62" i="6"/>
  <c r="D61" i="6"/>
  <c r="D60" i="6"/>
  <c r="D59" i="6"/>
  <c r="D45" i="6"/>
  <c r="D44" i="6"/>
  <c r="D43" i="6"/>
  <c r="D42" i="6"/>
  <c r="D41" i="6"/>
  <c r="I41" i="6" s="1"/>
  <c r="D40" i="6"/>
  <c r="D39" i="6"/>
  <c r="D38" i="6"/>
  <c r="D37" i="6"/>
  <c r="D36" i="6"/>
  <c r="D35" i="6"/>
  <c r="D34" i="6"/>
  <c r="D33" i="6"/>
  <c r="I33" i="6" s="1"/>
  <c r="D32" i="6"/>
  <c r="E72" i="6"/>
  <c r="E71" i="6"/>
  <c r="E70" i="6"/>
  <c r="E69" i="6"/>
  <c r="E68" i="6"/>
  <c r="E67" i="6"/>
  <c r="E66" i="6"/>
  <c r="E65" i="6"/>
  <c r="E64" i="6"/>
  <c r="E63" i="6"/>
  <c r="E62" i="6"/>
  <c r="E61" i="6"/>
  <c r="I61" i="6"/>
  <c r="I60" i="6"/>
  <c r="E60" i="6"/>
  <c r="E59" i="6"/>
  <c r="E45" i="6"/>
  <c r="E44" i="6"/>
  <c r="E43" i="6"/>
  <c r="E42" i="6"/>
  <c r="E41" i="6"/>
  <c r="E40" i="6"/>
  <c r="E39" i="6"/>
  <c r="E38" i="6"/>
  <c r="E37" i="6"/>
  <c r="E36" i="6"/>
  <c r="I35" i="6"/>
  <c r="E35" i="6"/>
  <c r="E34" i="6"/>
  <c r="E33" i="6"/>
  <c r="E32" i="6"/>
  <c r="C65" i="4"/>
  <c r="C64" i="4"/>
  <c r="AF65" i="4"/>
  <c r="AF66" i="4" s="1"/>
  <c r="AF67" i="4" s="1"/>
  <c r="AF68" i="4" s="1"/>
  <c r="AF69" i="4" s="1"/>
  <c r="AF70" i="4" s="1"/>
  <c r="AF71" i="4" s="1"/>
  <c r="AF72" i="4" s="1"/>
  <c r="AF73" i="4" s="1"/>
  <c r="AF74" i="4" s="1"/>
  <c r="AF75" i="4" s="1"/>
  <c r="AF76" i="4" s="1"/>
  <c r="AF77" i="4" s="1"/>
  <c r="AF78" i="4" s="1"/>
  <c r="AF79" i="4" s="1"/>
  <c r="AD65" i="4"/>
  <c r="AD66" i="4" s="1"/>
  <c r="AD67" i="4" s="1"/>
  <c r="AD68" i="4" s="1"/>
  <c r="AD69" i="4" s="1"/>
  <c r="AD70" i="4" s="1"/>
  <c r="AD71" i="4" s="1"/>
  <c r="AD72" i="4" s="1"/>
  <c r="AD73" i="4" s="1"/>
  <c r="AD74" i="4" s="1"/>
  <c r="AD75" i="4" s="1"/>
  <c r="AD76" i="4" s="1"/>
  <c r="AD77" i="4" s="1"/>
  <c r="AD78" i="4" s="1"/>
  <c r="AD79" i="4" s="1"/>
  <c r="AA65" i="4"/>
  <c r="AA66" i="4" s="1"/>
  <c r="AA67" i="4" s="1"/>
  <c r="AA68" i="4" s="1"/>
  <c r="AA69" i="4" s="1"/>
  <c r="AA70" i="4" s="1"/>
  <c r="AA71" i="4" s="1"/>
  <c r="AA72" i="4" s="1"/>
  <c r="AA73" i="4" s="1"/>
  <c r="AA74" i="4" s="1"/>
  <c r="AA75" i="4" s="1"/>
  <c r="AA76" i="4" s="1"/>
  <c r="AA77" i="4" s="1"/>
  <c r="AA78" i="4" s="1"/>
  <c r="AA79" i="4" s="1"/>
  <c r="Y65" i="4"/>
  <c r="Y66" i="4" s="1"/>
  <c r="Y67" i="4" s="1"/>
  <c r="Y68" i="4" s="1"/>
  <c r="Y69" i="4" s="1"/>
  <c r="Y70" i="4" s="1"/>
  <c r="Y71" i="4" s="1"/>
  <c r="Y72" i="4" s="1"/>
  <c r="Y73" i="4" s="1"/>
  <c r="Y74" i="4" s="1"/>
  <c r="Y75" i="4" s="1"/>
  <c r="Y76" i="4" s="1"/>
  <c r="Y77" i="4" s="1"/>
  <c r="Y78" i="4" s="1"/>
  <c r="Y79" i="4" s="1"/>
  <c r="T65" i="4"/>
  <c r="T66" i="4" s="1"/>
  <c r="T67" i="4" s="1"/>
  <c r="T68" i="4" s="1"/>
  <c r="T69" i="4" s="1"/>
  <c r="T70" i="4" s="1"/>
  <c r="T71" i="4" s="1"/>
  <c r="T72" i="4" s="1"/>
  <c r="T73" i="4" s="1"/>
  <c r="T74" i="4" s="1"/>
  <c r="T75" i="4" s="1"/>
  <c r="T76" i="4" s="1"/>
  <c r="T77" i="4" s="1"/>
  <c r="T78" i="4" s="1"/>
  <c r="T79" i="4" s="1"/>
  <c r="O65" i="4"/>
  <c r="O66" i="4" s="1"/>
  <c r="O67" i="4" s="1"/>
  <c r="O68" i="4" s="1"/>
  <c r="O69" i="4" s="1"/>
  <c r="O70" i="4" s="1"/>
  <c r="O71" i="4" s="1"/>
  <c r="O72" i="4" s="1"/>
  <c r="O73" i="4" s="1"/>
  <c r="O74" i="4" s="1"/>
  <c r="O75" i="4" s="1"/>
  <c r="O76" i="4" s="1"/>
  <c r="O77" i="4" s="1"/>
  <c r="O78" i="4" s="1"/>
  <c r="O79" i="4" s="1"/>
  <c r="L65" i="4"/>
  <c r="J65" i="4"/>
  <c r="J66" i="4" s="1"/>
  <c r="J67" i="4" s="1"/>
  <c r="J68" i="4" s="1"/>
  <c r="J69" i="4" s="1"/>
  <c r="J70" i="4" s="1"/>
  <c r="J71" i="4" s="1"/>
  <c r="J72" i="4" s="1"/>
  <c r="J73" i="4" s="1"/>
  <c r="J74" i="4" s="1"/>
  <c r="J75" i="4" s="1"/>
  <c r="J76" i="4" s="1"/>
  <c r="J77" i="4" s="1"/>
  <c r="J78" i="4" s="1"/>
  <c r="J79" i="4" s="1"/>
  <c r="E65" i="4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C66" i="4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AG64" i="4"/>
  <c r="AF64" i="4"/>
  <c r="AE64" i="4"/>
  <c r="AD64" i="4"/>
  <c r="AD81" i="4" s="1"/>
  <c r="AD82" i="4" s="1"/>
  <c r="AC64" i="4"/>
  <c r="AB64" i="4"/>
  <c r="AA64" i="4"/>
  <c r="Z64" i="4"/>
  <c r="Y64" i="4"/>
  <c r="Y81" i="4" s="1"/>
  <c r="Y82" i="4" s="1"/>
  <c r="X64" i="4"/>
  <c r="W64" i="4"/>
  <c r="V64" i="4"/>
  <c r="U64" i="4"/>
  <c r="T64" i="4"/>
  <c r="T81" i="4" s="1"/>
  <c r="T82" i="4" s="1"/>
  <c r="P64" i="4"/>
  <c r="O64" i="4"/>
  <c r="O81" i="4" s="1"/>
  <c r="O82" i="4" s="1"/>
  <c r="N64" i="4"/>
  <c r="M64" i="4"/>
  <c r="L64" i="4"/>
  <c r="K64" i="4"/>
  <c r="J64" i="4"/>
  <c r="J81" i="4" s="1"/>
  <c r="J82" i="4" s="1"/>
  <c r="I64" i="4"/>
  <c r="H64" i="4"/>
  <c r="G64" i="4"/>
  <c r="F64" i="4"/>
  <c r="E64" i="4"/>
  <c r="E81" i="4" s="1"/>
  <c r="E82" i="4" s="1"/>
  <c r="D64" i="4"/>
  <c r="C81" i="4"/>
  <c r="C82" i="4" s="1"/>
  <c r="T22" i="4"/>
  <c r="U15" i="4"/>
  <c r="U14" i="4"/>
  <c r="U13" i="4"/>
  <c r="C12" i="4"/>
  <c r="C11" i="4"/>
  <c r="C10" i="4"/>
  <c r="E7" i="4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6" i="4"/>
  <c r="V5" i="4"/>
  <c r="V6" i="4" s="1"/>
  <c r="V7" i="4" s="1"/>
  <c r="V8" i="4" s="1"/>
  <c r="V9" i="4" s="1"/>
  <c r="V10" i="4" s="1"/>
  <c r="V11" i="4" s="1"/>
  <c r="V12" i="4" s="1"/>
  <c r="V13" i="4" s="1"/>
  <c r="V14" i="4" s="1"/>
  <c r="V15" i="4" s="1"/>
  <c r="V16" i="4" s="1"/>
  <c r="V17" i="4" s="1"/>
  <c r="V18" i="4" s="1"/>
  <c r="V19" i="4" s="1"/>
  <c r="V20" i="4" s="1"/>
  <c r="E5" i="4"/>
  <c r="L5" i="8" l="1"/>
  <c r="H69" i="2"/>
  <c r="H39" i="2"/>
  <c r="H68" i="2"/>
  <c r="H40" i="2"/>
  <c r="H38" i="2"/>
  <c r="H67" i="2"/>
  <c r="H37" i="2"/>
  <c r="H66" i="2"/>
  <c r="H36" i="2"/>
  <c r="H65" i="2"/>
  <c r="H35" i="2"/>
  <c r="H64" i="2"/>
  <c r="H32" i="2"/>
  <c r="H34" i="2"/>
  <c r="H63" i="2"/>
  <c r="H45" i="2"/>
  <c r="H33" i="2"/>
  <c r="H62" i="2"/>
  <c r="H44" i="2"/>
  <c r="H59" i="2"/>
  <c r="H61" i="2"/>
  <c r="H43" i="2"/>
  <c r="H72" i="2"/>
  <c r="H60" i="2"/>
  <c r="H42" i="2"/>
  <c r="H71" i="2"/>
  <c r="H41" i="2"/>
  <c r="H63" i="6"/>
  <c r="H34" i="6"/>
  <c r="H32" i="6"/>
  <c r="H64" i="6"/>
  <c r="H35" i="6"/>
  <c r="J35" i="6" s="1"/>
  <c r="H65" i="6"/>
  <c r="H36" i="6"/>
  <c r="H66" i="6"/>
  <c r="J66" i="6" s="1"/>
  <c r="H37" i="6"/>
  <c r="H67" i="6"/>
  <c r="H38" i="6"/>
  <c r="J38" i="6" s="1"/>
  <c r="H68" i="6"/>
  <c r="H39" i="6"/>
  <c r="H61" i="6"/>
  <c r="H69" i="6"/>
  <c r="J69" i="6" s="1"/>
  <c r="H40" i="6"/>
  <c r="H44" i="6"/>
  <c r="H70" i="6"/>
  <c r="H41" i="6"/>
  <c r="J41" i="6" s="1"/>
  <c r="H59" i="6"/>
  <c r="H71" i="6"/>
  <c r="H42" i="6"/>
  <c r="H60" i="6"/>
  <c r="H72" i="6"/>
  <c r="H43" i="6"/>
  <c r="H62" i="6"/>
  <c r="H33" i="6"/>
  <c r="H45" i="6"/>
  <c r="H32" i="7"/>
  <c r="H70" i="7"/>
  <c r="H36" i="7"/>
  <c r="H65" i="7"/>
  <c r="H35" i="7"/>
  <c r="H64" i="7"/>
  <c r="H38" i="7"/>
  <c r="H67" i="7"/>
  <c r="H37" i="7"/>
  <c r="H34" i="7"/>
  <c r="H63" i="7"/>
  <c r="H43" i="7"/>
  <c r="H72" i="7"/>
  <c r="H42" i="7"/>
  <c r="J42" i="7" s="1"/>
  <c r="H41" i="7"/>
  <c r="H40" i="7"/>
  <c r="J40" i="7" s="1"/>
  <c r="H69" i="7"/>
  <c r="H39" i="7"/>
  <c r="H68" i="7"/>
  <c r="H66" i="7"/>
  <c r="H45" i="7"/>
  <c r="H33" i="7"/>
  <c r="H62" i="7"/>
  <c r="H44" i="7"/>
  <c r="H59" i="7"/>
  <c r="J59" i="7" s="1"/>
  <c r="H61" i="7"/>
  <c r="H60" i="7"/>
  <c r="I44" i="6"/>
  <c r="I67" i="6"/>
  <c r="I69" i="6"/>
  <c r="I42" i="6"/>
  <c r="I36" i="7"/>
  <c r="I61" i="7"/>
  <c r="I37" i="7"/>
  <c r="I32" i="7"/>
  <c r="I69" i="7"/>
  <c r="I33" i="7"/>
  <c r="I70" i="7"/>
  <c r="I65" i="7"/>
  <c r="I68" i="7"/>
  <c r="I62" i="7"/>
  <c r="I43" i="7"/>
  <c r="I39" i="7"/>
  <c r="J71" i="7"/>
  <c r="AF67" i="5"/>
  <c r="AF68" i="5" s="1"/>
  <c r="AF69" i="5" s="1"/>
  <c r="AF70" i="5" s="1"/>
  <c r="AF71" i="5" s="1"/>
  <c r="AF72" i="5" s="1"/>
  <c r="AF73" i="5" s="1"/>
  <c r="AF74" i="5" s="1"/>
  <c r="AF75" i="5" s="1"/>
  <c r="AF76" i="5" s="1"/>
  <c r="AF77" i="5" s="1"/>
  <c r="AF78" i="5" s="1"/>
  <c r="AF79" i="5" s="1"/>
  <c r="AB81" i="5"/>
  <c r="AB82" i="5" s="1"/>
  <c r="AC81" i="5"/>
  <c r="AC82" i="5" s="1"/>
  <c r="AG81" i="5"/>
  <c r="AG82" i="5" s="1"/>
  <c r="G81" i="5"/>
  <c r="G82" i="5" s="1"/>
  <c r="V81" i="5"/>
  <c r="V82" i="5" s="1"/>
  <c r="K65" i="5"/>
  <c r="K66" i="5" s="1"/>
  <c r="K67" i="5" s="1"/>
  <c r="K68" i="5" s="1"/>
  <c r="K69" i="5" s="1"/>
  <c r="K70" i="5" s="1"/>
  <c r="K71" i="5" s="1"/>
  <c r="K72" i="5" s="1"/>
  <c r="K73" i="5" s="1"/>
  <c r="K74" i="5" s="1"/>
  <c r="K75" i="5" s="1"/>
  <c r="K76" i="5" s="1"/>
  <c r="K77" i="5" s="1"/>
  <c r="K78" i="5" s="1"/>
  <c r="K79" i="5" s="1"/>
  <c r="Z65" i="5"/>
  <c r="Z66" i="5" s="1"/>
  <c r="Z67" i="5" s="1"/>
  <c r="Z68" i="5" s="1"/>
  <c r="Z69" i="5" s="1"/>
  <c r="Z70" i="5" s="1"/>
  <c r="Z71" i="5" s="1"/>
  <c r="Z72" i="5" s="1"/>
  <c r="Z73" i="5" s="1"/>
  <c r="Z74" i="5" s="1"/>
  <c r="Z75" i="5" s="1"/>
  <c r="Z76" i="5" s="1"/>
  <c r="Z77" i="5" s="1"/>
  <c r="Z78" i="5" s="1"/>
  <c r="Z79" i="5" s="1"/>
  <c r="L65" i="5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AA65" i="5"/>
  <c r="AA66" i="5" s="1"/>
  <c r="AA67" i="5" s="1"/>
  <c r="AA68" i="5" s="1"/>
  <c r="AA69" i="5" s="1"/>
  <c r="AA70" i="5" s="1"/>
  <c r="AA71" i="5" s="1"/>
  <c r="AA72" i="5" s="1"/>
  <c r="AA73" i="5" s="1"/>
  <c r="AA74" i="5" s="1"/>
  <c r="AA75" i="5" s="1"/>
  <c r="AA76" i="5" s="1"/>
  <c r="AA77" i="5" s="1"/>
  <c r="AA78" i="5" s="1"/>
  <c r="AA79" i="5" s="1"/>
  <c r="M65" i="5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AB65" i="5"/>
  <c r="AB66" i="5" s="1"/>
  <c r="AB67" i="5" s="1"/>
  <c r="AB68" i="5" s="1"/>
  <c r="AB69" i="5" s="1"/>
  <c r="AB70" i="5" s="1"/>
  <c r="AB71" i="5" s="1"/>
  <c r="AB72" i="5" s="1"/>
  <c r="AB73" i="5" s="1"/>
  <c r="AB74" i="5" s="1"/>
  <c r="AB75" i="5" s="1"/>
  <c r="AB76" i="5" s="1"/>
  <c r="AB77" i="5" s="1"/>
  <c r="AB78" i="5" s="1"/>
  <c r="AB79" i="5" s="1"/>
  <c r="N65" i="5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AC65" i="5"/>
  <c r="AC66" i="5" s="1"/>
  <c r="AC67" i="5" s="1"/>
  <c r="AC68" i="5" s="1"/>
  <c r="AC69" i="5" s="1"/>
  <c r="AC70" i="5" s="1"/>
  <c r="AC71" i="5" s="1"/>
  <c r="AC72" i="5" s="1"/>
  <c r="AC73" i="5" s="1"/>
  <c r="AC74" i="5" s="1"/>
  <c r="AC75" i="5" s="1"/>
  <c r="AC76" i="5" s="1"/>
  <c r="AC77" i="5" s="1"/>
  <c r="AC78" i="5" s="1"/>
  <c r="AC79" i="5" s="1"/>
  <c r="C65" i="5"/>
  <c r="C66" i="5" s="1"/>
  <c r="C67" i="5" s="1"/>
  <c r="C68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O65" i="5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AD65" i="5"/>
  <c r="AD66" i="5" s="1"/>
  <c r="AD67" i="5" s="1"/>
  <c r="AD68" i="5" s="1"/>
  <c r="AD69" i="5" s="1"/>
  <c r="AD70" i="5" s="1"/>
  <c r="AD71" i="5" s="1"/>
  <c r="AD72" i="5" s="1"/>
  <c r="AD73" i="5" s="1"/>
  <c r="AD74" i="5" s="1"/>
  <c r="AD75" i="5" s="1"/>
  <c r="AD76" i="5" s="1"/>
  <c r="AD77" i="5" s="1"/>
  <c r="AD78" i="5" s="1"/>
  <c r="AD79" i="5" s="1"/>
  <c r="D65" i="5"/>
  <c r="D66" i="5" s="1"/>
  <c r="D67" i="5" s="1"/>
  <c r="D68" i="5" s="1"/>
  <c r="D69" i="5" s="1"/>
  <c r="D70" i="5" s="1"/>
  <c r="D71" i="5" s="1"/>
  <c r="D72" i="5" s="1"/>
  <c r="D73" i="5" s="1"/>
  <c r="D74" i="5" s="1"/>
  <c r="D75" i="5" s="1"/>
  <c r="D76" i="5" s="1"/>
  <c r="D77" i="5" s="1"/>
  <c r="D78" i="5" s="1"/>
  <c r="D79" i="5" s="1"/>
  <c r="P65" i="5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AE65" i="5"/>
  <c r="AE66" i="5" s="1"/>
  <c r="AE67" i="5" s="1"/>
  <c r="AE68" i="5" s="1"/>
  <c r="AE69" i="5" s="1"/>
  <c r="AE70" i="5" s="1"/>
  <c r="AE71" i="5" s="1"/>
  <c r="AE72" i="5" s="1"/>
  <c r="AE73" i="5" s="1"/>
  <c r="AE74" i="5" s="1"/>
  <c r="AE75" i="5" s="1"/>
  <c r="AE76" i="5" s="1"/>
  <c r="AE77" i="5" s="1"/>
  <c r="AE78" i="5" s="1"/>
  <c r="AE79" i="5" s="1"/>
  <c r="T81" i="5"/>
  <c r="T82" i="5" s="1"/>
  <c r="F65" i="5"/>
  <c r="F66" i="5" s="1"/>
  <c r="F67" i="5" s="1"/>
  <c r="F68" i="5" s="1"/>
  <c r="F69" i="5" s="1"/>
  <c r="F70" i="5" s="1"/>
  <c r="F71" i="5" s="1"/>
  <c r="F72" i="5" s="1"/>
  <c r="F73" i="5" s="1"/>
  <c r="F74" i="5" s="1"/>
  <c r="F75" i="5" s="1"/>
  <c r="F76" i="5" s="1"/>
  <c r="F77" i="5" s="1"/>
  <c r="F78" i="5" s="1"/>
  <c r="F79" i="5" s="1"/>
  <c r="U65" i="5"/>
  <c r="U66" i="5" s="1"/>
  <c r="U67" i="5" s="1"/>
  <c r="U68" i="5" s="1"/>
  <c r="U69" i="5" s="1"/>
  <c r="U70" i="5" s="1"/>
  <c r="U71" i="5" s="1"/>
  <c r="U72" i="5" s="1"/>
  <c r="U73" i="5" s="1"/>
  <c r="U74" i="5" s="1"/>
  <c r="U75" i="5" s="1"/>
  <c r="U76" i="5" s="1"/>
  <c r="U77" i="5" s="1"/>
  <c r="U78" i="5" s="1"/>
  <c r="U79" i="5" s="1"/>
  <c r="AG65" i="5"/>
  <c r="AG66" i="5" s="1"/>
  <c r="AG67" i="5" s="1"/>
  <c r="AG68" i="5" s="1"/>
  <c r="AG69" i="5" s="1"/>
  <c r="AG70" i="5" s="1"/>
  <c r="AG71" i="5" s="1"/>
  <c r="AG72" i="5" s="1"/>
  <c r="AG73" i="5" s="1"/>
  <c r="AG74" i="5" s="1"/>
  <c r="AG75" i="5" s="1"/>
  <c r="AG76" i="5" s="1"/>
  <c r="AG77" i="5" s="1"/>
  <c r="AG78" i="5" s="1"/>
  <c r="AG79" i="5" s="1"/>
  <c r="G65" i="5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V65" i="5"/>
  <c r="V66" i="5" s="1"/>
  <c r="V67" i="5" s="1"/>
  <c r="V68" i="5" s="1"/>
  <c r="V69" i="5" s="1"/>
  <c r="V70" i="5" s="1"/>
  <c r="V71" i="5" s="1"/>
  <c r="V72" i="5" s="1"/>
  <c r="V73" i="5" s="1"/>
  <c r="V74" i="5" s="1"/>
  <c r="V75" i="5" s="1"/>
  <c r="V76" i="5" s="1"/>
  <c r="V77" i="5" s="1"/>
  <c r="V78" i="5" s="1"/>
  <c r="V79" i="5" s="1"/>
  <c r="H65" i="5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78" i="5" s="1"/>
  <c r="H79" i="5" s="1"/>
  <c r="H81" i="5" s="1"/>
  <c r="H82" i="5" s="1"/>
  <c r="W65" i="5"/>
  <c r="W66" i="5" s="1"/>
  <c r="W67" i="5" s="1"/>
  <c r="W68" i="5" s="1"/>
  <c r="W69" i="5" s="1"/>
  <c r="W70" i="5" s="1"/>
  <c r="W71" i="5" s="1"/>
  <c r="W72" i="5" s="1"/>
  <c r="W73" i="5" s="1"/>
  <c r="W74" i="5" s="1"/>
  <c r="W75" i="5" s="1"/>
  <c r="W76" i="5" s="1"/>
  <c r="W77" i="5" s="1"/>
  <c r="W78" i="5" s="1"/>
  <c r="W79" i="5" s="1"/>
  <c r="E81" i="5"/>
  <c r="E82" i="5" s="1"/>
  <c r="I65" i="5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X65" i="5"/>
  <c r="X66" i="5" s="1"/>
  <c r="X67" i="5" s="1"/>
  <c r="X68" i="5" s="1"/>
  <c r="X69" i="5" s="1"/>
  <c r="X70" i="5" s="1"/>
  <c r="X71" i="5" s="1"/>
  <c r="X72" i="5" s="1"/>
  <c r="X73" i="5" s="1"/>
  <c r="X74" i="5" s="1"/>
  <c r="X75" i="5" s="1"/>
  <c r="X76" i="5" s="1"/>
  <c r="X77" i="5" s="1"/>
  <c r="X78" i="5" s="1"/>
  <c r="X79" i="5" s="1"/>
  <c r="J65" i="5"/>
  <c r="J66" i="5" s="1"/>
  <c r="J67" i="5" s="1"/>
  <c r="J68" i="5" s="1"/>
  <c r="J69" i="5" s="1"/>
  <c r="J70" i="5" s="1"/>
  <c r="J71" i="5" s="1"/>
  <c r="J72" i="5" s="1"/>
  <c r="J73" i="5" s="1"/>
  <c r="J74" i="5" s="1"/>
  <c r="J75" i="5" s="1"/>
  <c r="J76" i="5" s="1"/>
  <c r="J77" i="5" s="1"/>
  <c r="J78" i="5" s="1"/>
  <c r="J79" i="5" s="1"/>
  <c r="Y65" i="5"/>
  <c r="Y66" i="5" s="1"/>
  <c r="Y67" i="5" s="1"/>
  <c r="Y68" i="5" s="1"/>
  <c r="Y69" i="5" s="1"/>
  <c r="Y70" i="5" s="1"/>
  <c r="Y71" i="5" s="1"/>
  <c r="Y72" i="5" s="1"/>
  <c r="Y73" i="5" s="1"/>
  <c r="Y74" i="5" s="1"/>
  <c r="Y75" i="5" s="1"/>
  <c r="Y76" i="5" s="1"/>
  <c r="Y77" i="5" s="1"/>
  <c r="Y78" i="5" s="1"/>
  <c r="Y79" i="5" s="1"/>
  <c r="I64" i="6"/>
  <c r="I63" i="6"/>
  <c r="I38" i="6"/>
  <c r="I37" i="6"/>
  <c r="I32" i="6"/>
  <c r="I39" i="6"/>
  <c r="I70" i="6"/>
  <c r="I72" i="6"/>
  <c r="I71" i="6"/>
  <c r="I65" i="6"/>
  <c r="I62" i="6"/>
  <c r="I43" i="6"/>
  <c r="I45" i="6"/>
  <c r="J44" i="6"/>
  <c r="AF81" i="4"/>
  <c r="AF82" i="4" s="1"/>
  <c r="W81" i="4"/>
  <c r="W82" i="4" s="1"/>
  <c r="X81" i="4"/>
  <c r="X82" i="4" s="1"/>
  <c r="L81" i="4"/>
  <c r="L82" i="4" s="1"/>
  <c r="AE81" i="4"/>
  <c r="AE82" i="4" s="1"/>
  <c r="K65" i="4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Z65" i="4"/>
  <c r="Z66" i="4" s="1"/>
  <c r="Z67" i="4" s="1"/>
  <c r="Z68" i="4" s="1"/>
  <c r="Z69" i="4" s="1"/>
  <c r="Z70" i="4" s="1"/>
  <c r="Z71" i="4" s="1"/>
  <c r="Z72" i="4" s="1"/>
  <c r="Z73" i="4" s="1"/>
  <c r="Z74" i="4" s="1"/>
  <c r="Z75" i="4" s="1"/>
  <c r="Z76" i="4" s="1"/>
  <c r="Z77" i="4" s="1"/>
  <c r="Z78" i="4" s="1"/>
  <c r="Z79" i="4" s="1"/>
  <c r="M65" i="4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AB65" i="4"/>
  <c r="AB66" i="4" s="1"/>
  <c r="AB67" i="4" s="1"/>
  <c r="AB68" i="4" s="1"/>
  <c r="AB69" i="4" s="1"/>
  <c r="AB70" i="4" s="1"/>
  <c r="AB71" i="4" s="1"/>
  <c r="AB72" i="4" s="1"/>
  <c r="AB73" i="4" s="1"/>
  <c r="AB74" i="4" s="1"/>
  <c r="AB75" i="4" s="1"/>
  <c r="AB76" i="4" s="1"/>
  <c r="AB77" i="4" s="1"/>
  <c r="AB78" i="4" s="1"/>
  <c r="AB79" i="4" s="1"/>
  <c r="AA81" i="4"/>
  <c r="AA82" i="4" s="1"/>
  <c r="N65" i="4"/>
  <c r="N66" i="4" s="1"/>
  <c r="N67" i="4" s="1"/>
  <c r="N68" i="4" s="1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AC65" i="4"/>
  <c r="AC66" i="4" s="1"/>
  <c r="AC67" i="4" s="1"/>
  <c r="AC68" i="4" s="1"/>
  <c r="AC69" i="4" s="1"/>
  <c r="AC70" i="4" s="1"/>
  <c r="AC71" i="4" s="1"/>
  <c r="AC72" i="4" s="1"/>
  <c r="AC73" i="4" s="1"/>
  <c r="AC74" i="4" s="1"/>
  <c r="AC75" i="4" s="1"/>
  <c r="AC76" i="4" s="1"/>
  <c r="AC77" i="4" s="1"/>
  <c r="AC78" i="4" s="1"/>
  <c r="AC79" i="4" s="1"/>
  <c r="D65" i="4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P65" i="4"/>
  <c r="P66" i="4" s="1"/>
  <c r="P67" i="4" s="1"/>
  <c r="P68" i="4" s="1"/>
  <c r="P69" i="4" s="1"/>
  <c r="P70" i="4" s="1"/>
  <c r="P71" i="4" s="1"/>
  <c r="P72" i="4" s="1"/>
  <c r="P73" i="4" s="1"/>
  <c r="P74" i="4" s="1"/>
  <c r="P75" i="4" s="1"/>
  <c r="P76" i="4" s="1"/>
  <c r="P77" i="4" s="1"/>
  <c r="P78" i="4" s="1"/>
  <c r="P79" i="4" s="1"/>
  <c r="AE65" i="4"/>
  <c r="AE66" i="4" s="1"/>
  <c r="AE67" i="4" s="1"/>
  <c r="AE68" i="4" s="1"/>
  <c r="AE69" i="4" s="1"/>
  <c r="AE70" i="4" s="1"/>
  <c r="AE71" i="4" s="1"/>
  <c r="AE72" i="4" s="1"/>
  <c r="AE73" i="4" s="1"/>
  <c r="AE74" i="4" s="1"/>
  <c r="AE75" i="4" s="1"/>
  <c r="AE76" i="4" s="1"/>
  <c r="AE77" i="4" s="1"/>
  <c r="AE78" i="4" s="1"/>
  <c r="AE79" i="4" s="1"/>
  <c r="L66" i="4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F65" i="4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U65" i="4"/>
  <c r="U66" i="4" s="1"/>
  <c r="U67" i="4" s="1"/>
  <c r="U68" i="4" s="1"/>
  <c r="U69" i="4" s="1"/>
  <c r="U70" i="4" s="1"/>
  <c r="U71" i="4" s="1"/>
  <c r="U72" i="4" s="1"/>
  <c r="U73" i="4" s="1"/>
  <c r="U74" i="4" s="1"/>
  <c r="U75" i="4" s="1"/>
  <c r="U76" i="4" s="1"/>
  <c r="U77" i="4" s="1"/>
  <c r="U78" i="4" s="1"/>
  <c r="U79" i="4" s="1"/>
  <c r="AG65" i="4"/>
  <c r="AG66" i="4" s="1"/>
  <c r="AG67" i="4" s="1"/>
  <c r="AG68" i="4" s="1"/>
  <c r="AG69" i="4" s="1"/>
  <c r="AG70" i="4" s="1"/>
  <c r="AG71" i="4" s="1"/>
  <c r="AG72" i="4" s="1"/>
  <c r="AG73" i="4" s="1"/>
  <c r="AG74" i="4" s="1"/>
  <c r="AG75" i="4" s="1"/>
  <c r="AG76" i="4" s="1"/>
  <c r="AG77" i="4" s="1"/>
  <c r="AG78" i="4" s="1"/>
  <c r="AG79" i="4" s="1"/>
  <c r="G65" i="4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V65" i="4"/>
  <c r="V66" i="4" s="1"/>
  <c r="V67" i="4" s="1"/>
  <c r="V68" i="4" s="1"/>
  <c r="V69" i="4" s="1"/>
  <c r="V70" i="4" s="1"/>
  <c r="V71" i="4" s="1"/>
  <c r="V72" i="4" s="1"/>
  <c r="V73" i="4" s="1"/>
  <c r="V74" i="4" s="1"/>
  <c r="V75" i="4" s="1"/>
  <c r="V76" i="4" s="1"/>
  <c r="V77" i="4" s="1"/>
  <c r="V78" i="4" s="1"/>
  <c r="V79" i="4" s="1"/>
  <c r="H65" i="4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W65" i="4"/>
  <c r="W66" i="4" s="1"/>
  <c r="W67" i="4" s="1"/>
  <c r="W68" i="4" s="1"/>
  <c r="W69" i="4" s="1"/>
  <c r="W70" i="4" s="1"/>
  <c r="W71" i="4" s="1"/>
  <c r="W72" i="4" s="1"/>
  <c r="W73" i="4" s="1"/>
  <c r="W74" i="4" s="1"/>
  <c r="W75" i="4" s="1"/>
  <c r="W76" i="4" s="1"/>
  <c r="W77" i="4" s="1"/>
  <c r="W78" i="4" s="1"/>
  <c r="W79" i="4" s="1"/>
  <c r="I65" i="4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X65" i="4"/>
  <c r="X66" i="4" s="1"/>
  <c r="X67" i="4" s="1"/>
  <c r="X68" i="4" s="1"/>
  <c r="X69" i="4" s="1"/>
  <c r="X70" i="4" s="1"/>
  <c r="X71" i="4" s="1"/>
  <c r="X72" i="4" s="1"/>
  <c r="X73" i="4" s="1"/>
  <c r="X74" i="4" s="1"/>
  <c r="X75" i="4" s="1"/>
  <c r="X76" i="4" s="1"/>
  <c r="X77" i="4" s="1"/>
  <c r="X78" i="4" s="1"/>
  <c r="X79" i="4" s="1"/>
  <c r="C22" i="4"/>
  <c r="J68" i="7" l="1"/>
  <c r="J72" i="7"/>
  <c r="J69" i="7"/>
  <c r="J66" i="7"/>
  <c r="J63" i="7"/>
  <c r="J60" i="7"/>
  <c r="J44" i="7"/>
  <c r="J41" i="7"/>
  <c r="J38" i="7"/>
  <c r="J35" i="7"/>
  <c r="J32" i="7"/>
  <c r="J43" i="7"/>
  <c r="J37" i="7"/>
  <c r="J70" i="7"/>
  <c r="J39" i="7"/>
  <c r="J65" i="7"/>
  <c r="J64" i="7"/>
  <c r="J61" i="7"/>
  <c r="J67" i="7"/>
  <c r="J45" i="7"/>
  <c r="J62" i="7"/>
  <c r="J36" i="7"/>
  <c r="J33" i="7"/>
  <c r="J34" i="7"/>
  <c r="M81" i="5"/>
  <c r="M82" i="5" s="1"/>
  <c r="AE81" i="5"/>
  <c r="AE82" i="5" s="1"/>
  <c r="AA81" i="5"/>
  <c r="AA82" i="5" s="1"/>
  <c r="U81" i="5"/>
  <c r="U82" i="5" s="1"/>
  <c r="F81" i="5"/>
  <c r="F82" i="5" s="1"/>
  <c r="P81" i="5"/>
  <c r="P82" i="5" s="1"/>
  <c r="L81" i="5"/>
  <c r="L82" i="5" s="1"/>
  <c r="D81" i="5"/>
  <c r="D82" i="5" s="1"/>
  <c r="Z81" i="5"/>
  <c r="Z82" i="5" s="1"/>
  <c r="AD81" i="5"/>
  <c r="AD82" i="5" s="1"/>
  <c r="K81" i="5"/>
  <c r="K82" i="5" s="1"/>
  <c r="N81" i="5"/>
  <c r="N82" i="5" s="1"/>
  <c r="Y81" i="5"/>
  <c r="Y82" i="5" s="1"/>
  <c r="J81" i="5"/>
  <c r="J82" i="5" s="1"/>
  <c r="O81" i="5"/>
  <c r="O82" i="5" s="1"/>
  <c r="C81" i="5"/>
  <c r="C82" i="5" s="1"/>
  <c r="AF81" i="5"/>
  <c r="AF82" i="5" s="1"/>
  <c r="W81" i="5"/>
  <c r="W82" i="5" s="1"/>
  <c r="X81" i="5"/>
  <c r="X82" i="5" s="1"/>
  <c r="I81" i="5"/>
  <c r="I82" i="5" s="1"/>
  <c r="J63" i="6"/>
  <c r="J70" i="6"/>
  <c r="J67" i="6"/>
  <c r="J64" i="6"/>
  <c r="J61" i="6"/>
  <c r="J45" i="6"/>
  <c r="J42" i="6"/>
  <c r="J39" i="6"/>
  <c r="J36" i="6"/>
  <c r="J33" i="6"/>
  <c r="J71" i="6"/>
  <c r="J68" i="6"/>
  <c r="J43" i="6"/>
  <c r="J40" i="6"/>
  <c r="J65" i="6"/>
  <c r="J62" i="6"/>
  <c r="J59" i="6"/>
  <c r="J37" i="6"/>
  <c r="J34" i="6"/>
  <c r="J32" i="6"/>
  <c r="J72" i="6"/>
  <c r="J60" i="6"/>
  <c r="Z81" i="4"/>
  <c r="Z82" i="4" s="1"/>
  <c r="K81" i="4"/>
  <c r="K82" i="4" s="1"/>
  <c r="I81" i="4"/>
  <c r="I82" i="4" s="1"/>
  <c r="AC81" i="4"/>
  <c r="AC82" i="4" s="1"/>
  <c r="N81" i="4"/>
  <c r="N82" i="4" s="1"/>
  <c r="H81" i="4"/>
  <c r="H82" i="4" s="1"/>
  <c r="D81" i="4"/>
  <c r="D82" i="4" s="1"/>
  <c r="V81" i="4"/>
  <c r="V82" i="4" s="1"/>
  <c r="G81" i="4"/>
  <c r="G82" i="4" s="1"/>
  <c r="AB81" i="4"/>
  <c r="AB82" i="4" s="1"/>
  <c r="AG81" i="4"/>
  <c r="AG82" i="4" s="1"/>
  <c r="M81" i="4"/>
  <c r="M82" i="4" s="1"/>
  <c r="U81" i="4"/>
  <c r="U82" i="4" s="1"/>
  <c r="P81" i="4"/>
  <c r="P82" i="4" s="1"/>
  <c r="F81" i="4"/>
  <c r="F82" i="4" s="1"/>
  <c r="E60" i="2" l="1"/>
  <c r="E61" i="2"/>
  <c r="E62" i="2"/>
  <c r="E63" i="2"/>
  <c r="E64" i="2"/>
  <c r="E65" i="2"/>
  <c r="E66" i="2"/>
  <c r="E67" i="2"/>
  <c r="E68" i="2"/>
  <c r="E69" i="2"/>
  <c r="E70" i="2"/>
  <c r="E71" i="2"/>
  <c r="E72" i="2"/>
  <c r="E59" i="2"/>
  <c r="J59" i="2" s="1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B72" i="2"/>
  <c r="I72" i="2" s="1"/>
  <c r="B71" i="2"/>
  <c r="I71" i="2" s="1"/>
  <c r="B70" i="2"/>
  <c r="I70" i="2" s="1"/>
  <c r="B69" i="2"/>
  <c r="I69" i="2" s="1"/>
  <c r="B68" i="2"/>
  <c r="I68" i="2" s="1"/>
  <c r="B67" i="2"/>
  <c r="I67" i="2" s="1"/>
  <c r="B66" i="2"/>
  <c r="B65" i="2"/>
  <c r="I65" i="2" s="1"/>
  <c r="B64" i="2"/>
  <c r="I64" i="2" s="1"/>
  <c r="B63" i="2"/>
  <c r="I63" i="2" s="1"/>
  <c r="B62" i="2"/>
  <c r="B61" i="2"/>
  <c r="B60" i="2"/>
  <c r="I60" i="2" s="1"/>
  <c r="B59" i="2"/>
  <c r="I59" i="2" s="1"/>
  <c r="V81" i="1"/>
  <c r="T81" i="1"/>
  <c r="AG81" i="1"/>
  <c r="C17" i="3"/>
  <c r="C36" i="3"/>
  <c r="C37" i="3"/>
  <c r="C21" i="3"/>
  <c r="C20" i="3"/>
  <c r="C19" i="3"/>
  <c r="C18" i="3"/>
  <c r="C16" i="3"/>
  <c r="C15" i="3"/>
  <c r="C33" i="3"/>
  <c r="B12" i="3"/>
  <c r="B5" i="3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32" i="2"/>
  <c r="J32" i="2" s="1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B45" i="2"/>
  <c r="I45" i="2" s="1"/>
  <c r="B44" i="2"/>
  <c r="I44" i="2" s="1"/>
  <c r="B43" i="2"/>
  <c r="I43" i="2" s="1"/>
  <c r="B42" i="2"/>
  <c r="I42" i="2" s="1"/>
  <c r="B41" i="2"/>
  <c r="B40" i="2"/>
  <c r="B39" i="2"/>
  <c r="B38" i="2"/>
  <c r="I38" i="2" s="1"/>
  <c r="J38" i="2" s="1"/>
  <c r="B37" i="2"/>
  <c r="I37" i="2" s="1"/>
  <c r="B36" i="2"/>
  <c r="I36" i="2" s="1"/>
  <c r="B35" i="2"/>
  <c r="B34" i="2"/>
  <c r="B33" i="2"/>
  <c r="I33" i="2" s="1"/>
  <c r="B32" i="2"/>
  <c r="I32" i="2" s="1"/>
  <c r="AD82" i="1"/>
  <c r="W82" i="1"/>
  <c r="AG82" i="1"/>
  <c r="AF81" i="1"/>
  <c r="AF82" i="1" s="1"/>
  <c r="AE81" i="1"/>
  <c r="AE82" i="1" s="1"/>
  <c r="AD81" i="1"/>
  <c r="AC81" i="1"/>
  <c r="AC82" i="1" s="1"/>
  <c r="AB81" i="1"/>
  <c r="AB82" i="1" s="1"/>
  <c r="AA81" i="1"/>
  <c r="AA82" i="1" s="1"/>
  <c r="Z81" i="1"/>
  <c r="Z82" i="1" s="1"/>
  <c r="Y81" i="1"/>
  <c r="Y82" i="1" s="1"/>
  <c r="X81" i="1"/>
  <c r="X82" i="1" s="1"/>
  <c r="W81" i="1"/>
  <c r="V82" i="1"/>
  <c r="U81" i="1"/>
  <c r="U82" i="1" s="1"/>
  <c r="T82" i="1"/>
  <c r="D82" i="1"/>
  <c r="D81" i="1"/>
  <c r="C82" i="1"/>
  <c r="E81" i="1"/>
  <c r="F81" i="1"/>
  <c r="G81" i="1"/>
  <c r="G82" i="1" s="1"/>
  <c r="H81" i="1"/>
  <c r="I81" i="1"/>
  <c r="J81" i="1"/>
  <c r="J82" i="1" s="1"/>
  <c r="K81" i="1"/>
  <c r="L81" i="1"/>
  <c r="M81" i="1"/>
  <c r="M82" i="1" s="1"/>
  <c r="N81" i="1"/>
  <c r="N82" i="1" s="1"/>
  <c r="O81" i="1"/>
  <c r="P81" i="1"/>
  <c r="E82" i="1"/>
  <c r="F82" i="1"/>
  <c r="H82" i="1"/>
  <c r="I82" i="1"/>
  <c r="K82" i="1"/>
  <c r="L82" i="1"/>
  <c r="O82" i="1"/>
  <c r="P82" i="1"/>
  <c r="C81" i="1"/>
  <c r="C66" i="1"/>
  <c r="T78" i="1"/>
  <c r="AG65" i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B65" i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A65" i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V65" i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U65" i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AG64" i="1"/>
  <c r="AF64" i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E64" i="1"/>
  <c r="AE65" i="1" s="1"/>
  <c r="AE66" i="1" s="1"/>
  <c r="AE67" i="1" s="1"/>
  <c r="AE68" i="1" s="1"/>
  <c r="AE69" i="1" s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D64" i="1"/>
  <c r="AD65" i="1" s="1"/>
  <c r="AD66" i="1" s="1"/>
  <c r="AD67" i="1" s="1"/>
  <c r="AD68" i="1" s="1"/>
  <c r="AD69" i="1" s="1"/>
  <c r="AD70" i="1" s="1"/>
  <c r="AD71" i="1" s="1"/>
  <c r="AD72" i="1" s="1"/>
  <c r="AD73" i="1" s="1"/>
  <c r="AD74" i="1" s="1"/>
  <c r="AD75" i="1" s="1"/>
  <c r="AD76" i="1" s="1"/>
  <c r="AD77" i="1" s="1"/>
  <c r="AD78" i="1" s="1"/>
  <c r="AD79" i="1" s="1"/>
  <c r="AC64" i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B64" i="1"/>
  <c r="AA64" i="1"/>
  <c r="Z64" i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Y64" i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X64" i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W64" i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V64" i="1"/>
  <c r="U64" i="1"/>
  <c r="T64" i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9" i="1" s="1"/>
  <c r="D64" i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E64" i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F64" i="1"/>
  <c r="G64" i="1"/>
  <c r="H64" i="1"/>
  <c r="I64" i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J64" i="1"/>
  <c r="K64" i="1"/>
  <c r="L64" i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M64" i="1"/>
  <c r="N64" i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O64" i="1"/>
  <c r="P64" i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F65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H65" i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J65" i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K65" i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M65" i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O65" i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F66" i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C65" i="1"/>
  <c r="C67" i="1" s="1"/>
  <c r="C64" i="1"/>
  <c r="X22" i="1"/>
  <c r="B27" i="9" l="1"/>
  <c r="B33" i="9" s="1"/>
  <c r="B30" i="9" s="1"/>
  <c r="K9" i="8"/>
  <c r="L8" i="8" s="1"/>
  <c r="B2" i="10"/>
  <c r="B33" i="10" s="1"/>
  <c r="C24" i="3"/>
  <c r="C30" i="3"/>
  <c r="C29" i="3"/>
  <c r="C28" i="3"/>
  <c r="C27" i="3"/>
  <c r="C26" i="3"/>
  <c r="C25" i="3"/>
  <c r="F43" i="2"/>
  <c r="F70" i="2" s="1"/>
  <c r="G70" i="2" s="1"/>
  <c r="F43" i="6"/>
  <c r="F43" i="7"/>
  <c r="J60" i="2"/>
  <c r="J71" i="2"/>
  <c r="J72" i="2"/>
  <c r="I39" i="2"/>
  <c r="J39" i="2" s="1"/>
  <c r="I66" i="2"/>
  <c r="J66" i="2" s="1"/>
  <c r="I40" i="2"/>
  <c r="J40" i="2" s="1"/>
  <c r="I41" i="2"/>
  <c r="J41" i="2" s="1"/>
  <c r="J37" i="2"/>
  <c r="I61" i="2"/>
  <c r="J61" i="2" s="1"/>
  <c r="I35" i="2"/>
  <c r="J35" i="2" s="1"/>
  <c r="I62" i="2"/>
  <c r="J62" i="2" s="1"/>
  <c r="J68" i="2"/>
  <c r="J67" i="2"/>
  <c r="J44" i="2"/>
  <c r="J65" i="2"/>
  <c r="J64" i="2"/>
  <c r="J36" i="2"/>
  <c r="J33" i="2"/>
  <c r="J45" i="2"/>
  <c r="J43" i="2"/>
  <c r="J42" i="2"/>
  <c r="J69" i="2"/>
  <c r="I34" i="2"/>
  <c r="J34" i="2" s="1"/>
  <c r="J63" i="2"/>
  <c r="J70" i="2"/>
  <c r="C32" i="3"/>
  <c r="C31" i="3"/>
  <c r="C35" i="3"/>
  <c r="C23" i="3"/>
  <c r="C34" i="3"/>
  <c r="C22" i="3"/>
  <c r="C68" i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G22" i="1"/>
  <c r="T22" i="1"/>
  <c r="X23" i="1" s="1"/>
  <c r="C34" i="10" l="1"/>
  <c r="S38" i="10"/>
  <c r="B32" i="10"/>
  <c r="G37" i="10"/>
  <c r="Q37" i="10"/>
  <c r="H32" i="10"/>
  <c r="P31" i="10"/>
  <c r="N37" i="10"/>
  <c r="O30" i="10"/>
  <c r="J31" i="10"/>
  <c r="E30" i="10"/>
  <c r="T32" i="10"/>
  <c r="G34" i="10"/>
  <c r="O38" i="10"/>
  <c r="M30" i="10"/>
  <c r="T37" i="10"/>
  <c r="R33" i="10"/>
  <c r="U32" i="10"/>
  <c r="S30" i="10"/>
  <c r="F32" i="10"/>
  <c r="U30" i="10"/>
  <c r="K32" i="10"/>
  <c r="U31" i="10"/>
  <c r="O32" i="10"/>
  <c r="Q31" i="10"/>
  <c r="M32" i="10"/>
  <c r="L38" i="10"/>
  <c r="B3" i="10"/>
  <c r="T33" i="10"/>
  <c r="C31" i="10"/>
  <c r="L33" i="10"/>
  <c r="P33" i="10"/>
  <c r="T30" i="10"/>
  <c r="R31" i="10"/>
  <c r="E35" i="10"/>
  <c r="M35" i="10"/>
  <c r="M37" i="10"/>
  <c r="G32" i="10"/>
  <c r="H38" i="10"/>
  <c r="P32" i="10"/>
  <c r="G31" i="10"/>
  <c r="E31" i="10"/>
  <c r="D31" i="10"/>
  <c r="Q32" i="10"/>
  <c r="C30" i="10"/>
  <c r="I36" i="10"/>
  <c r="I30" i="10"/>
  <c r="K30" i="10"/>
  <c r="O31" i="10"/>
  <c r="E38" i="10"/>
  <c r="L30" i="10"/>
  <c r="J30" i="10"/>
  <c r="F31" i="10"/>
  <c r="G30" i="10"/>
  <c r="O37" i="10"/>
  <c r="P30" i="10"/>
  <c r="B31" i="10"/>
  <c r="D30" i="10"/>
  <c r="L32" i="10"/>
  <c r="R32" i="10"/>
  <c r="J37" i="10"/>
  <c r="B30" i="10"/>
  <c r="H37" i="10"/>
  <c r="E37" i="10"/>
  <c r="H31" i="10"/>
  <c r="H30" i="10"/>
  <c r="D33" i="10"/>
  <c r="Q30" i="10"/>
  <c r="K31" i="10"/>
  <c r="H33" i="10"/>
  <c r="N33" i="10"/>
  <c r="L31" i="10"/>
  <c r="U37" i="10"/>
  <c r="R37" i="10"/>
  <c r="D37" i="10"/>
  <c r="L37" i="10"/>
  <c r="M31" i="10"/>
  <c r="R30" i="10"/>
  <c r="S32" i="10"/>
  <c r="J32" i="10"/>
  <c r="F30" i="10"/>
  <c r="N31" i="10"/>
  <c r="T31" i="10"/>
  <c r="K34" i="10"/>
  <c r="S37" i="10"/>
  <c r="I32" i="10"/>
  <c r="C37" i="10"/>
  <c r="N30" i="10"/>
  <c r="E32" i="10"/>
  <c r="D32" i="10"/>
  <c r="I31" i="10"/>
  <c r="N32" i="10"/>
  <c r="K37" i="10"/>
  <c r="C32" i="10"/>
  <c r="I37" i="10"/>
  <c r="B37" i="10"/>
  <c r="F37" i="10"/>
  <c r="S31" i="10"/>
  <c r="P37" i="10"/>
  <c r="G43" i="2"/>
  <c r="F33" i="2"/>
  <c r="F60" i="2" s="1"/>
  <c r="G60" i="2" s="1"/>
  <c r="F33" i="6"/>
  <c r="F33" i="7"/>
  <c r="F70" i="6"/>
  <c r="G70" i="6" s="1"/>
  <c r="G43" i="6"/>
  <c r="F45" i="2"/>
  <c r="F72" i="2" s="1"/>
  <c r="G72" i="2" s="1"/>
  <c r="F45" i="6"/>
  <c r="F45" i="7"/>
  <c r="F70" i="7"/>
  <c r="G70" i="7" s="1"/>
  <c r="G43" i="7"/>
  <c r="F41" i="2"/>
  <c r="G41" i="2" s="1"/>
  <c r="F41" i="7"/>
  <c r="F41" i="6"/>
  <c r="F35" i="2"/>
  <c r="F35" i="7"/>
  <c r="F35" i="6"/>
  <c r="F36" i="2"/>
  <c r="F36" i="7"/>
  <c r="F36" i="6"/>
  <c r="F38" i="2"/>
  <c r="F38" i="6"/>
  <c r="F38" i="7"/>
  <c r="F42" i="2"/>
  <c r="G42" i="2" s="1"/>
  <c r="F42" i="7"/>
  <c r="F42" i="6"/>
  <c r="F37" i="2"/>
  <c r="F37" i="6"/>
  <c r="F37" i="7"/>
  <c r="F32" i="2"/>
  <c r="F59" i="2" s="1"/>
  <c r="G59" i="2" s="1"/>
  <c r="F32" i="6"/>
  <c r="F32" i="7"/>
  <c r="F39" i="2"/>
  <c r="F39" i="7"/>
  <c r="F39" i="6"/>
  <c r="F44" i="2"/>
  <c r="F71" i="2" s="1"/>
  <c r="G71" i="2" s="1"/>
  <c r="F44" i="6"/>
  <c r="F44" i="7"/>
  <c r="F40" i="2"/>
  <c r="F40" i="6"/>
  <c r="F40" i="7"/>
  <c r="F34" i="6"/>
  <c r="F34" i="7"/>
  <c r="F34" i="2"/>
  <c r="G23" i="1"/>
  <c r="B40" i="10" l="1"/>
  <c r="I40" i="10"/>
  <c r="I42" i="10"/>
  <c r="I41" i="10"/>
  <c r="I39" i="10"/>
  <c r="I43" i="10"/>
  <c r="F43" i="10"/>
  <c r="F42" i="10"/>
  <c r="F41" i="10"/>
  <c r="F39" i="10"/>
  <c r="F40" i="10"/>
  <c r="Q39" i="10"/>
  <c r="Q43" i="10"/>
  <c r="Q42" i="10"/>
  <c r="Q41" i="10"/>
  <c r="Q40" i="10"/>
  <c r="P41" i="10"/>
  <c r="P39" i="10"/>
  <c r="P43" i="10"/>
  <c r="P40" i="10"/>
  <c r="P42" i="10"/>
  <c r="U40" i="10"/>
  <c r="U42" i="10"/>
  <c r="U41" i="10"/>
  <c r="U39" i="10"/>
  <c r="U43" i="10"/>
  <c r="O41" i="10"/>
  <c r="O39" i="10"/>
  <c r="O43" i="10"/>
  <c r="O40" i="10"/>
  <c r="O42" i="10"/>
  <c r="R42" i="10"/>
  <c r="R41" i="10"/>
  <c r="R39" i="10"/>
  <c r="R43" i="10"/>
  <c r="R40" i="10"/>
  <c r="H43" i="10"/>
  <c r="H40" i="10"/>
  <c r="H42" i="10"/>
  <c r="H41" i="10"/>
  <c r="H39" i="10"/>
  <c r="G39" i="10"/>
  <c r="G43" i="10"/>
  <c r="G40" i="10"/>
  <c r="G42" i="10"/>
  <c r="G41" i="10"/>
  <c r="S43" i="10"/>
  <c r="S39" i="10"/>
  <c r="S40" i="10"/>
  <c r="S42" i="10"/>
  <c r="S41" i="10"/>
  <c r="N42" i="10"/>
  <c r="N43" i="10"/>
  <c r="N39" i="10"/>
  <c r="N41" i="10"/>
  <c r="N40" i="10"/>
  <c r="J39" i="10"/>
  <c r="J43" i="10"/>
  <c r="J40" i="10"/>
  <c r="J42" i="10"/>
  <c r="J41" i="10"/>
  <c r="E42" i="10"/>
  <c r="E41" i="10"/>
  <c r="E39" i="10"/>
  <c r="E43" i="10"/>
  <c r="E40" i="10"/>
  <c r="L43" i="10"/>
  <c r="L40" i="10"/>
  <c r="L42" i="10"/>
  <c r="L41" i="10"/>
  <c r="L39" i="10"/>
  <c r="G28" i="10"/>
  <c r="T28" i="10"/>
  <c r="N28" i="10"/>
  <c r="P28" i="10"/>
  <c r="O28" i="10"/>
  <c r="M28" i="10"/>
  <c r="B28" i="10"/>
  <c r="I28" i="10"/>
  <c r="F28" i="10"/>
  <c r="H28" i="10"/>
  <c r="J28" i="10"/>
  <c r="E28" i="10"/>
  <c r="C28" i="10"/>
  <c r="D28" i="10"/>
  <c r="S28" i="10"/>
  <c r="K28" i="10"/>
  <c r="U28" i="10"/>
  <c r="Q28" i="10"/>
  <c r="L28" i="10"/>
  <c r="R28" i="10"/>
  <c r="C41" i="10"/>
  <c r="C40" i="10"/>
  <c r="C39" i="10"/>
  <c r="C43" i="10"/>
  <c r="C42" i="10"/>
  <c r="B43" i="10"/>
  <c r="B39" i="10"/>
  <c r="B42" i="10"/>
  <c r="B41" i="10"/>
  <c r="M39" i="10"/>
  <c r="M43" i="10"/>
  <c r="M40" i="10"/>
  <c r="M42" i="10"/>
  <c r="M41" i="10"/>
  <c r="G32" i="2"/>
  <c r="G45" i="2"/>
  <c r="D43" i="10"/>
  <c r="D40" i="10"/>
  <c r="D42" i="10"/>
  <c r="D41" i="10"/>
  <c r="D39" i="10"/>
  <c r="T42" i="10"/>
  <c r="T41" i="10"/>
  <c r="T39" i="10"/>
  <c r="T43" i="10"/>
  <c r="T40" i="10"/>
  <c r="K39" i="10"/>
  <c r="K43" i="10"/>
  <c r="K40" i="10"/>
  <c r="K42" i="10"/>
  <c r="K41" i="10"/>
  <c r="G44" i="2"/>
  <c r="F69" i="2"/>
  <c r="G69" i="2" s="1"/>
  <c r="F68" i="2"/>
  <c r="G68" i="2" s="1"/>
  <c r="F60" i="7"/>
  <c r="G60" i="7" s="1"/>
  <c r="G33" i="7"/>
  <c r="F71" i="7"/>
  <c r="G71" i="7" s="1"/>
  <c r="G44" i="7"/>
  <c r="F68" i="6"/>
  <c r="G68" i="6" s="1"/>
  <c r="G41" i="6"/>
  <c r="F71" i="6"/>
  <c r="G71" i="6" s="1"/>
  <c r="G44" i="6"/>
  <c r="G39" i="6"/>
  <c r="F66" i="6"/>
  <c r="G66" i="6" s="1"/>
  <c r="F65" i="7"/>
  <c r="G65" i="7" s="1"/>
  <c r="G38" i="7"/>
  <c r="F67" i="6"/>
  <c r="G67" i="6" s="1"/>
  <c r="G40" i="6"/>
  <c r="F62" i="7"/>
  <c r="G62" i="7" s="1"/>
  <c r="G35" i="7"/>
  <c r="F64" i="2"/>
  <c r="G64" i="2" s="1"/>
  <c r="G37" i="2"/>
  <c r="G33" i="6"/>
  <c r="F60" i="6"/>
  <c r="G60" i="6" s="1"/>
  <c r="G42" i="6"/>
  <c r="F69" i="6"/>
  <c r="G69" i="6" s="1"/>
  <c r="F72" i="7"/>
  <c r="G72" i="7" s="1"/>
  <c r="G45" i="7"/>
  <c r="F61" i="7"/>
  <c r="G61" i="7" s="1"/>
  <c r="G34" i="7"/>
  <c r="F62" i="2"/>
  <c r="G62" i="2" s="1"/>
  <c r="G35" i="2"/>
  <c r="G42" i="7"/>
  <c r="F69" i="7"/>
  <c r="G69" i="7" s="1"/>
  <c r="G41" i="7"/>
  <c r="F68" i="7"/>
  <c r="G68" i="7" s="1"/>
  <c r="F66" i="7"/>
  <c r="G66" i="7" s="1"/>
  <c r="G39" i="7"/>
  <c r="F66" i="2"/>
  <c r="G66" i="2" s="1"/>
  <c r="G39" i="2"/>
  <c r="F61" i="2"/>
  <c r="G61" i="2" s="1"/>
  <c r="G34" i="2"/>
  <c r="F61" i="6"/>
  <c r="G61" i="6" s="1"/>
  <c r="G34" i="6"/>
  <c r="F64" i="6"/>
  <c r="G64" i="6" s="1"/>
  <c r="G37" i="6"/>
  <c r="G40" i="2"/>
  <c r="F67" i="2"/>
  <c r="G67" i="2" s="1"/>
  <c r="F65" i="6"/>
  <c r="G65" i="6" s="1"/>
  <c r="G38" i="6"/>
  <c r="G33" i="2"/>
  <c r="F65" i="2"/>
  <c r="G65" i="2" s="1"/>
  <c r="G38" i="2"/>
  <c r="F59" i="7"/>
  <c r="G59" i="7" s="1"/>
  <c r="G32" i="7"/>
  <c r="F63" i="6"/>
  <c r="G63" i="6" s="1"/>
  <c r="G36" i="6"/>
  <c r="F72" i="6"/>
  <c r="G72" i="6" s="1"/>
  <c r="G45" i="6"/>
  <c r="F59" i="6"/>
  <c r="G59" i="6" s="1"/>
  <c r="G32" i="6"/>
  <c r="F63" i="7"/>
  <c r="G63" i="7" s="1"/>
  <c r="G36" i="7"/>
  <c r="F63" i="2"/>
  <c r="G63" i="2" s="1"/>
  <c r="G36" i="2"/>
  <c r="F67" i="7"/>
  <c r="G67" i="7" s="1"/>
  <c r="G40" i="7"/>
  <c r="F64" i="7"/>
  <c r="G64" i="7" s="1"/>
  <c r="G37" i="7"/>
  <c r="F62" i="6"/>
  <c r="G62" i="6" s="1"/>
  <c r="G35" i="6"/>
  <c r="U22" i="1"/>
  <c r="F44" i="10" l="1"/>
  <c r="F45" i="10" s="1"/>
  <c r="F46" i="10" s="1"/>
  <c r="T44" i="10"/>
  <c r="E44" i="10"/>
  <c r="R44" i="10"/>
  <c r="N44" i="10"/>
  <c r="E45" i="10"/>
  <c r="E46" i="10" s="1"/>
  <c r="K44" i="10"/>
  <c r="K45" i="10" s="1"/>
  <c r="K46" i="10" s="1"/>
  <c r="S44" i="10"/>
  <c r="S45" i="10" s="1"/>
  <c r="S46" i="10" s="1"/>
  <c r="J44" i="10"/>
  <c r="J45" i="10" s="1"/>
  <c r="J46" i="10" s="1"/>
  <c r="R45" i="10"/>
  <c r="R46" i="10" s="1"/>
  <c r="U44" i="10"/>
  <c r="U45" i="10" s="1"/>
  <c r="U46" i="10" s="1"/>
  <c r="C44" i="10"/>
  <c r="C45" i="10" s="1"/>
  <c r="C46" i="10" s="1"/>
  <c r="T45" i="10"/>
  <c r="T46" i="10" s="1"/>
  <c r="M44" i="10"/>
  <c r="M45" i="10" s="1"/>
  <c r="M46" i="10" s="1"/>
  <c r="L44" i="10"/>
  <c r="L45" i="10" s="1"/>
  <c r="L46" i="10" s="1"/>
  <c r="G44" i="10"/>
  <c r="G45" i="10" s="1"/>
  <c r="G46" i="10" s="1"/>
  <c r="P44" i="10"/>
  <c r="P45" i="10" s="1"/>
  <c r="P46" i="10" s="1"/>
  <c r="N45" i="10"/>
  <c r="N46" i="10" s="1"/>
  <c r="O44" i="10"/>
  <c r="O45" i="10" s="1"/>
  <c r="O46" i="10" s="1"/>
  <c r="Q44" i="10"/>
  <c r="Q45" i="10" s="1"/>
  <c r="Q46" i="10" s="1"/>
  <c r="B44" i="10"/>
  <c r="B45" i="10" s="1"/>
  <c r="B46" i="10" s="1"/>
  <c r="D44" i="10"/>
  <c r="D45" i="10" s="1"/>
  <c r="D46" i="10" s="1"/>
  <c r="H44" i="10"/>
  <c r="H45" i="10" s="1"/>
  <c r="H46" i="10" s="1"/>
  <c r="I44" i="10"/>
  <c r="I45" i="10" s="1"/>
  <c r="I46" i="10" s="1"/>
  <c r="D22" i="1"/>
  <c r="V46" i="10" l="1"/>
</calcChain>
</file>

<file path=xl/sharedStrings.xml><?xml version="1.0" encoding="utf-8"?>
<sst xmlns="http://schemas.openxmlformats.org/spreadsheetml/2006/main" count="853" uniqueCount="195">
  <si>
    <t>PARADA</t>
  </si>
  <si>
    <t>FRANJA 7:00h a 21:00h</t>
  </si>
  <si>
    <t>Subidas</t>
  </si>
  <si>
    <t>Bajadas</t>
  </si>
  <si>
    <t>Carga TP después de la Parada</t>
  </si>
  <si>
    <t>%</t>
  </si>
  <si>
    <t>BAJADAS TEORICAS</t>
  </si>
  <si>
    <t>DISTRIBUCIÓN HORARIA SUBIDAS ENERO</t>
  </si>
  <si>
    <t>DISTRIBUCIÓN HORARIA BAJADAS ENERO</t>
  </si>
  <si>
    <t>pasajeros</t>
  </si>
  <si>
    <t>Hora</t>
  </si>
  <si>
    <t>0h</t>
  </si>
  <si>
    <t>1h</t>
  </si>
  <si>
    <t>2h</t>
  </si>
  <si>
    <t>3h</t>
  </si>
  <si>
    <t>4h</t>
  </si>
  <si>
    <t>5h</t>
  </si>
  <si>
    <t>6h</t>
  </si>
  <si>
    <t>7h</t>
  </si>
  <si>
    <t>8h</t>
  </si>
  <si>
    <t>9h</t>
  </si>
  <si>
    <t>10h</t>
  </si>
  <si>
    <t>11h</t>
  </si>
  <si>
    <t>12h</t>
  </si>
  <si>
    <t>13h</t>
  </si>
  <si>
    <t>14h</t>
  </si>
  <si>
    <t>15h</t>
  </si>
  <si>
    <t>16h</t>
  </si>
  <si>
    <t>17h</t>
  </si>
  <si>
    <t>18h</t>
  </si>
  <si>
    <t>19h</t>
  </si>
  <si>
    <t>20h</t>
  </si>
  <si>
    <t>21h</t>
  </si>
  <si>
    <t>22h</t>
  </si>
  <si>
    <t>23h</t>
  </si>
  <si>
    <t>Viajeros</t>
  </si>
  <si>
    <t>Frecuencia (min)</t>
  </si>
  <si>
    <t>Factor de carga</t>
  </si>
  <si>
    <t>Servicios/hora</t>
  </si>
  <si>
    <t>Carga máxima</t>
  </si>
  <si>
    <t>Margen capacidad TOTAL</t>
  </si>
  <si>
    <t>DISTRIBUCIÓN CARGA ENERO</t>
  </si>
  <si>
    <t>FACTOR DE CARGA</t>
  </si>
  <si>
    <t>MÁXIMA CARGA</t>
  </si>
  <si>
    <t>Nº pasajeros por tranvía</t>
  </si>
  <si>
    <t>Nº de tranvías en línea</t>
  </si>
  <si>
    <t>Longitud comercial (m)</t>
  </si>
  <si>
    <t>Tiempo de recorrido (min)</t>
  </si>
  <si>
    <t>Velocidad comercial (km/h)</t>
  </si>
  <si>
    <t>Frecuencia mínima (min)</t>
  </si>
  <si>
    <t>Tiempo de rotación (min)</t>
  </si>
  <si>
    <t>Nº vehículos necesario</t>
  </si>
  <si>
    <t>Frecuencia</t>
  </si>
  <si>
    <t>nº vehículos</t>
  </si>
  <si>
    <t>Capacidad sistema  por hora</t>
  </si>
  <si>
    <t>DISTRIBUCIÓN HORARIA SUBIDAS MAYO</t>
  </si>
  <si>
    <t>DISTRIBUCIÓN HORARIA BAJADAS MAYO</t>
  </si>
  <si>
    <t>DISTRIBUCIÓN HORARIA SUBIDAS AGOSTO</t>
  </si>
  <si>
    <t>DISTRIBUCIÓN HORARIA BAJADAS AGOSTO</t>
  </si>
  <si>
    <t>Pasajeros por tranvía</t>
  </si>
  <si>
    <t>Longitud z. pasajeros</t>
  </si>
  <si>
    <t>Anchura z. pasajeros</t>
  </si>
  <si>
    <r>
      <t>Ratio pasajeros/m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</si>
  <si>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 xml:space="preserve">Tranvías de </t>
  </si>
  <si>
    <t>módulos</t>
  </si>
  <si>
    <t>Capacidad</t>
  </si>
  <si>
    <t>LÍNEA 1: Plaça Espanya-Aeroport</t>
  </si>
  <si>
    <t>LÍNEA 1: Aeroport - Plaça Espanya</t>
  </si>
  <si>
    <t>Tiempo de regulación Plaça España (min)</t>
  </si>
  <si>
    <t>Tiempo de regulación Aeroport (min)</t>
  </si>
  <si>
    <t>Plaza de España - Aeroport</t>
  </si>
  <si>
    <t>Aeroport - Plaza de España</t>
  </si>
  <si>
    <t>PLAÇA ESPANYA - AEROPORT</t>
  </si>
  <si>
    <t>AEROPORT - PLAÇA ESPANYA</t>
  </si>
  <si>
    <t>Itinerario</t>
  </si>
  <si>
    <t>Viajes</t>
  </si>
  <si>
    <t>Distancia (km)</t>
  </si>
  <si>
    <t>km TOTALES</t>
  </si>
  <si>
    <t>Plaça Espanya - Aeroport</t>
  </si>
  <si>
    <t>Aeroport - Plaça Espanya</t>
  </si>
  <si>
    <t>Can Pastilla - Plaça España</t>
  </si>
  <si>
    <t>Can Pastilla - Aeroport</t>
  </si>
  <si>
    <t>Tipo de viaje</t>
  </si>
  <si>
    <t>Comercial</t>
  </si>
  <si>
    <t>De oportunidad</t>
  </si>
  <si>
    <t>En vacío</t>
  </si>
  <si>
    <t>Total producción kilométrica diaria</t>
  </si>
  <si>
    <t>Nº días</t>
  </si>
  <si>
    <t>km comerciales</t>
  </si>
  <si>
    <t>km oportunidad</t>
  </si>
  <si>
    <t>km vacío</t>
  </si>
  <si>
    <t>Total producción kilométrica anual</t>
  </si>
  <si>
    <t>Hora salida a servicio dirección Plaça Espanya</t>
  </si>
  <si>
    <t>Hora salida a servicio dirección Aeroport</t>
  </si>
  <si>
    <t>Hora última entrada Can Pastilla desde Plaça Espanya</t>
  </si>
  <si>
    <t>Hora última entrada Can Pastilla desde Aeroport</t>
  </si>
  <si>
    <t>Horas TOTALES conducción diaria</t>
  </si>
  <si>
    <t>Horas TOTALES ANUALES de conducción</t>
  </si>
  <si>
    <t>Horas anuales efectivas de trabajo por conductor</t>
  </si>
  <si>
    <t>nº vehículos necesario de 7:00 a 21:00 horas</t>
  </si>
  <si>
    <t>TOTAL conductores necesarios</t>
  </si>
  <si>
    <t>Horas diarias servicio Plaça Espanya - Aeroport</t>
  </si>
  <si>
    <t>Horas diarias servicio Aeroport - Plaça Espanya</t>
  </si>
  <si>
    <t>Nº tranvías</t>
  </si>
  <si>
    <t>km anuales/tranvía</t>
  </si>
  <si>
    <t>Tipo de revisión</t>
  </si>
  <si>
    <t>Averias</t>
  </si>
  <si>
    <t>Accidentes</t>
  </si>
  <si>
    <t>Vandalismo</t>
  </si>
  <si>
    <t>Horas/hombre</t>
  </si>
  <si>
    <t>Longitud tranvía (m)</t>
  </si>
  <si>
    <t>Ancho tranvía (m)</t>
  </si>
  <si>
    <t xml:space="preserve">Horas anuales efectivas de trabajo por técnico </t>
  </si>
  <si>
    <t>AÑO</t>
  </si>
  <si>
    <t>Preventiva</t>
  </si>
  <si>
    <t>Correctiva</t>
  </si>
  <si>
    <t>KM</t>
  </si>
  <si>
    <t>Horas</t>
  </si>
  <si>
    <t>Ratios</t>
  </si>
  <si>
    <t>Total preventivo</t>
  </si>
  <si>
    <t>TOTAL MANTENIMIENTO</t>
  </si>
  <si>
    <t>Nº técnicos</t>
  </si>
  <si>
    <t>Enero</t>
  </si>
  <si>
    <t xml:space="preserve">Mayo </t>
  </si>
  <si>
    <t>Agosto</t>
  </si>
  <si>
    <t>Mes</t>
  </si>
  <si>
    <t>Tasa de inspección</t>
  </si>
  <si>
    <t>Nº inspecciones diarias a realizar</t>
  </si>
  <si>
    <t>Inspecciones diarias / controlador</t>
  </si>
  <si>
    <t>Nº inspecciones ANUALES a realizar</t>
  </si>
  <si>
    <t>Jornada laboral anual efectiva</t>
  </si>
  <si>
    <t>días</t>
  </si>
  <si>
    <t>Nº controladores</t>
  </si>
  <si>
    <t>Semanal</t>
  </si>
  <si>
    <t>Otros (formación+admin+taller)</t>
  </si>
  <si>
    <t>Km o semanas</t>
  </si>
  <si>
    <t>Reperfilado de ruedas</t>
  </si>
  <si>
    <t xml:space="preserve">Cambio de ruedas </t>
  </si>
  <si>
    <t>% preventivas anuales fijas</t>
  </si>
  <si>
    <t>Total correctivo</t>
  </si>
  <si>
    <t>Nº técnicos optimizado</t>
  </si>
  <si>
    <r>
      <t xml:space="preserve">FASE I_10'_sentido IDA </t>
    </r>
    <r>
      <rPr>
        <b/>
        <sz val="14"/>
        <color rgb="FFFF0000"/>
        <rFont val="Franklin Gothic Book"/>
        <family val="2"/>
      </rPr>
      <t>ENERO</t>
    </r>
  </si>
  <si>
    <r>
      <t xml:space="preserve">FASE I_10'_sentido VUELTA </t>
    </r>
    <r>
      <rPr>
        <b/>
        <sz val="14"/>
        <color rgb="FFFF0000"/>
        <rFont val="Franklin Gothic Book"/>
        <family val="2"/>
      </rPr>
      <t>ENERO</t>
    </r>
  </si>
  <si>
    <r>
      <t xml:space="preserve">FASE I_10'_sentido IDA </t>
    </r>
    <r>
      <rPr>
        <b/>
        <sz val="14"/>
        <color rgb="FFFF0000"/>
        <rFont val="Franklin Gothic Book"/>
        <family val="2"/>
      </rPr>
      <t>MAYO</t>
    </r>
  </si>
  <si>
    <r>
      <t xml:space="preserve">FASE I_10'_sentido VUELTA </t>
    </r>
    <r>
      <rPr>
        <b/>
        <sz val="14"/>
        <color rgb="FFFF0000"/>
        <rFont val="Franklin Gothic Book"/>
        <family val="2"/>
      </rPr>
      <t>MAYO</t>
    </r>
  </si>
  <si>
    <r>
      <t xml:space="preserve">FASE I_10'_sentido IDA </t>
    </r>
    <r>
      <rPr>
        <b/>
        <sz val="14"/>
        <color rgb="FFFF0000"/>
        <rFont val="Franklin Gothic Book"/>
        <family val="2"/>
      </rPr>
      <t>AGOSTO</t>
    </r>
  </si>
  <si>
    <r>
      <t xml:space="preserve">FASE I_10'_sentido VUELTA </t>
    </r>
    <r>
      <rPr>
        <b/>
        <sz val="14"/>
        <color rgb="FFFF0000"/>
        <rFont val="Franklin Gothic Book"/>
        <family val="2"/>
      </rPr>
      <t>AGOSTO</t>
    </r>
  </si>
  <si>
    <t>DE LUNES A DOMINGO</t>
  </si>
  <si>
    <t>HORA</t>
  </si>
  <si>
    <t>FRECUENCIA (min)</t>
  </si>
  <si>
    <t>Nº SERVICIOS</t>
  </si>
  <si>
    <t>VERANO (DE ABRIL A OCTUBRE)</t>
  </si>
  <si>
    <t>INVIERNO (DE NOVIEMBRE A MARZO)</t>
  </si>
  <si>
    <t>Temporada</t>
  </si>
  <si>
    <t>Verano</t>
  </si>
  <si>
    <t>Invierno</t>
  </si>
  <si>
    <t>PRODUCCIÓN KILOMÉTRICA VERANO (DE ABRIL A OCTUBRE)</t>
  </si>
  <si>
    <t>PRODUCCIÓN KILOMÉTRICA INVIERNO (DE NOVIEMBRE A MARZO)</t>
  </si>
  <si>
    <t>PRODUCCIÓN KILOMÉTRICA ANUAL</t>
  </si>
  <si>
    <t>Parada 1</t>
  </si>
  <si>
    <t>Parada 2</t>
  </si>
  <si>
    <t>Parada 3</t>
  </si>
  <si>
    <t>Parada 4</t>
  </si>
  <si>
    <t>Parada 5</t>
  </si>
  <si>
    <t>Parada 6</t>
  </si>
  <si>
    <t>Parada 7</t>
  </si>
  <si>
    <t>Parada 8</t>
  </si>
  <si>
    <t>Parada 9</t>
  </si>
  <si>
    <t>Parada 10</t>
  </si>
  <si>
    <t>Parada 11</t>
  </si>
  <si>
    <t>Parada 12</t>
  </si>
  <si>
    <t>Parada 13</t>
  </si>
  <si>
    <t>Parada 14</t>
  </si>
  <si>
    <t>Parada 15</t>
  </si>
  <si>
    <t>Parada 16</t>
  </si>
  <si>
    <t>Por tranvía</t>
  </si>
  <si>
    <t>flota de</t>
  </si>
  <si>
    <t>unidades</t>
  </si>
  <si>
    <t>nº vehículos necesario de 6:00 a 7:00 horas</t>
  </si>
  <si>
    <t>nº vehículos necesario de 4:00 a 6:00 horas</t>
  </si>
  <si>
    <t>nº vehículos necesario de 21:00 a 00:00 horas</t>
  </si>
  <si>
    <t>nº vehículos necesario de 00:00 a 02:00 horas</t>
  </si>
  <si>
    <t xml:space="preserve"> de 4:00 a 6:00 horas</t>
  </si>
  <si>
    <t xml:space="preserve"> de 6:00 a 7:00 horas</t>
  </si>
  <si>
    <t xml:space="preserve"> de 7:00 a 21:00 horas</t>
  </si>
  <si>
    <t xml:space="preserve"> de 21:00 a 00:00 horas</t>
  </si>
  <si>
    <t xml:space="preserve"> de 00:00 a 02:00 horas</t>
  </si>
  <si>
    <t>Hora inicio servicio comercial</t>
  </si>
  <si>
    <t>Hora fin servicio comercial</t>
  </si>
  <si>
    <t>G80</t>
  </si>
  <si>
    <t>G40</t>
  </si>
  <si>
    <t>G20</t>
  </si>
  <si>
    <t>G160</t>
  </si>
  <si>
    <t>G320</t>
  </si>
  <si>
    <t>G640 (Overhaul)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</si>
</sst>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Franklin Gothic Book"/>
      <family val="2"/>
    </font>
    <font>
      <b/>
      <sz val="14"/>
      <color rgb="FFFF0000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trike/>
      <sz val="11"/>
      <color theme="1"/>
      <name val="Franklin Gothic Book"/>
      <family val="2"/>
    </font>
    <font>
      <b/>
      <sz val="11"/>
      <color theme="0" tint="-0.499984740745262"/>
      <name val="Franklin Gothic Book"/>
      <family val="2"/>
    </font>
    <font>
      <b/>
      <sz val="11"/>
      <color theme="0"/>
      <name val="Franklin Gothic Book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FuturaA Bk BT"/>
      <family val="2"/>
    </font>
    <font>
      <b/>
      <sz val="8"/>
      <name val="FuturaA Bk BT"/>
    </font>
    <font>
      <b/>
      <sz val="10"/>
      <name val="FuturaA Bk BT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FuturaA Bk BT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BBB5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9BBB59"/>
      </right>
      <top style="medium">
        <color rgb="FF9BBB59"/>
      </top>
      <bottom style="medium">
        <color rgb="FF9BBB59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121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7" fillId="0" borderId="0" xfId="0" applyNumberFormat="1" applyFont="1"/>
    <xf numFmtId="20" fontId="11" fillId="2" borderId="5" xfId="0" applyNumberFormat="1" applyFont="1" applyFill="1" applyBorder="1" applyAlignment="1">
      <alignment horizontal="center" vertical="center"/>
    </xf>
    <xf numFmtId="20" fontId="11" fillId="2" borderId="6" xfId="0" applyNumberFormat="1" applyFont="1" applyFill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9" fontId="7" fillId="0" borderId="0" xfId="1" applyFont="1"/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0" applyNumberFormat="1" applyBorder="1"/>
    <xf numFmtId="9" fontId="0" fillId="0" borderId="1" xfId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7" fillId="0" borderId="0" xfId="0" applyNumberFormat="1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5" borderId="23" xfId="0" applyFont="1" applyFill="1" applyBorder="1" applyAlignment="1">
      <alignment horizontal="left" vertical="center"/>
    </xf>
    <xf numFmtId="2" fontId="0" fillId="0" borderId="0" xfId="0" applyNumberFormat="1"/>
    <xf numFmtId="0" fontId="4" fillId="5" borderId="24" xfId="0" applyFont="1" applyFill="1" applyBorder="1" applyAlignment="1">
      <alignment horizontal="left" vertical="center"/>
    </xf>
    <xf numFmtId="21" fontId="0" fillId="0" borderId="1" xfId="0" applyNumberFormat="1" applyBorder="1"/>
    <xf numFmtId="0" fontId="2" fillId="5" borderId="24" xfId="0" applyFont="1" applyFill="1" applyBorder="1" applyAlignment="1">
      <alignment horizontal="left" vertical="center"/>
    </xf>
    <xf numFmtId="2" fontId="0" fillId="0" borderId="1" xfId="0" applyNumberFormat="1" applyBorder="1"/>
    <xf numFmtId="1" fontId="0" fillId="0" borderId="1" xfId="0" applyNumberFormat="1" applyBorder="1"/>
    <xf numFmtId="0" fontId="2" fillId="5" borderId="24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3" fontId="17" fillId="6" borderId="23" xfId="3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5" borderId="24" xfId="0" applyFont="1" applyFill="1" applyBorder="1" applyAlignment="1">
      <alignment horizontal="center" vertical="center"/>
    </xf>
    <xf numFmtId="3" fontId="18" fillId="6" borderId="23" xfId="3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6" borderId="23" xfId="3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0" fillId="5" borderId="24" xfId="0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21" fillId="0" borderId="0" xfId="0" applyFont="1"/>
    <xf numFmtId="0" fontId="2" fillId="5" borderId="23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2" fillId="6" borderId="23" xfId="3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3" fontId="25" fillId="7" borderId="28" xfId="0" applyNumberFormat="1" applyFont="1" applyFill="1" applyBorder="1" applyAlignment="1">
      <alignment horizontal="center" vertical="center"/>
    </xf>
    <xf numFmtId="21" fontId="0" fillId="0" borderId="0" xfId="0" applyNumberFormat="1"/>
    <xf numFmtId="1" fontId="0" fillId="0" borderId="0" xfId="0" applyNumberFormat="1"/>
    <xf numFmtId="1" fontId="3" fillId="0" borderId="1" xfId="0" applyNumberFormat="1" applyFont="1" applyBorder="1"/>
    <xf numFmtId="2" fontId="3" fillId="0" borderId="1" xfId="0" applyNumberFormat="1" applyFont="1" applyBorder="1"/>
    <xf numFmtId="0" fontId="7" fillId="0" borderId="0" xfId="0" applyFont="1" applyAlignment="1">
      <alignment horizontal="center"/>
    </xf>
    <xf numFmtId="0" fontId="8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4" fillId="3" borderId="19" xfId="0" applyFont="1" applyFill="1" applyBorder="1"/>
    <xf numFmtId="0" fontId="4" fillId="3" borderId="20" xfId="0" applyFont="1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right"/>
    </xf>
    <xf numFmtId="0" fontId="4" fillId="5" borderId="25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" fontId="0" fillId="0" borderId="25" xfId="0" applyNumberFormat="1" applyBorder="1" applyAlignment="1">
      <alignment horizontal="center"/>
    </xf>
  </cellXfs>
  <cellStyles count="4">
    <cellStyle name="Normal" xfId="0" builtinId="0"/>
    <cellStyle name="Normal 2" xfId="2" xr:uid="{A953EB32-FA65-4102-AB25-33B837EBADF7}"/>
    <cellStyle name="Normal 2 2" xfId="3" xr:uid="{24D36CC7-8DE8-4617-A7D9-FE889F30D559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'[1]ESC_1B_10 Enero'!$C$4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'[1]ESC_1B_10 Enero'!$B$5:$B$20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'[1]ESC_1B_10 Enero'!$C$5:$C$20</c:f>
              <c:numCache>
                <c:formatCode>General</c:formatCode>
                <c:ptCount val="16"/>
                <c:pt idx="0">
                  <c:v>3438.7610663228306</c:v>
                </c:pt>
                <c:pt idx="1">
                  <c:v>2159.7391952946923</c:v>
                </c:pt>
                <c:pt idx="2">
                  <c:v>1523.7553947856436</c:v>
                </c:pt>
                <c:pt idx="3">
                  <c:v>351.54069712499546</c:v>
                </c:pt>
                <c:pt idx="4">
                  <c:v>90.013276769678583</c:v>
                </c:pt>
                <c:pt idx="5">
                  <c:v>130.98348820326677</c:v>
                </c:pt>
                <c:pt idx="6">
                  <c:v>48.330816000000006</c:v>
                </c:pt>
                <c:pt idx="7">
                  <c:v>113.13397224975223</c:v>
                </c:pt>
                <c:pt idx="8">
                  <c:v>68.505787970714536</c:v>
                </c:pt>
                <c:pt idx="9">
                  <c:v>104.029931148353</c:v>
                </c:pt>
                <c:pt idx="10">
                  <c:v>59.332974511041016</c:v>
                </c:pt>
                <c:pt idx="11">
                  <c:v>131.61861983593229</c:v>
                </c:pt>
                <c:pt idx="12">
                  <c:v>111.41563067150634</c:v>
                </c:pt>
                <c:pt idx="13">
                  <c:v>39.602228621509958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5-4CE7-A9D7-6C8C32444925}"/>
            </c:ext>
          </c:extLst>
        </c:ser>
        <c:ser>
          <c:idx val="1"/>
          <c:order val="1"/>
          <c:tx>
            <c:strRef>
              <c:f>'[1]ESC_1B_10 Enero'!$D$4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'[1]ESC_1B_10 Enero'!$B$5:$B$20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'[1]ESC_1B_10 Enero'!$D$5:$D$20</c:f>
              <c:numCache>
                <c:formatCode>General</c:formatCode>
                <c:ptCount val="16"/>
                <c:pt idx="0">
                  <c:v>0</c:v>
                </c:pt>
                <c:pt idx="1">
                  <c:v>35.010758054361823</c:v>
                </c:pt>
                <c:pt idx="2">
                  <c:v>852.34559131942592</c:v>
                </c:pt>
                <c:pt idx="3">
                  <c:v>625.84474069901967</c:v>
                </c:pt>
                <c:pt idx="4">
                  <c:v>453.63433308226968</c:v>
                </c:pt>
                <c:pt idx="5">
                  <c:v>679.65473350298691</c:v>
                </c:pt>
                <c:pt idx="6">
                  <c:v>342.39633768045104</c:v>
                </c:pt>
                <c:pt idx="7">
                  <c:v>242.78004442226631</c:v>
                </c:pt>
                <c:pt idx="8">
                  <c:v>1230.6949134267093</c:v>
                </c:pt>
                <c:pt idx="9">
                  <c:v>633.08078363425898</c:v>
                </c:pt>
                <c:pt idx="10">
                  <c:v>178.10731613152848</c:v>
                </c:pt>
                <c:pt idx="11">
                  <c:v>337.77007634795723</c:v>
                </c:pt>
                <c:pt idx="12">
                  <c:v>791.21944448732495</c:v>
                </c:pt>
                <c:pt idx="13">
                  <c:v>377.12189013772434</c:v>
                </c:pt>
                <c:pt idx="14">
                  <c:v>0</c:v>
                </c:pt>
                <c:pt idx="15">
                  <c:v>1591.102116583633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5-4CE7-A9D7-6C8C32444925}"/>
            </c:ext>
          </c:extLst>
        </c:ser>
        <c:ser>
          <c:idx val="2"/>
          <c:order val="2"/>
          <c:tx>
            <c:strRef>
              <c:f>'[1]ESC_1B_10 Enero'!$E$4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'[1]ESC_1B_10 Enero'!$B$5:$B$20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'[1]ESC_1B_10 Enero'!$E$5:$E$20</c:f>
              <c:numCache>
                <c:formatCode>General</c:formatCode>
                <c:ptCount val="16"/>
                <c:pt idx="0">
                  <c:v>3438.7610663228306</c:v>
                </c:pt>
                <c:pt idx="1">
                  <c:v>5563.4895035631607</c:v>
                </c:pt>
                <c:pt idx="2">
                  <c:v>6234.8993070293791</c:v>
                </c:pt>
                <c:pt idx="3">
                  <c:v>5960.5952634553551</c:v>
                </c:pt>
                <c:pt idx="4">
                  <c:v>5596.9742071427645</c:v>
                </c:pt>
                <c:pt idx="5">
                  <c:v>5048.3029618430437</c:v>
                </c:pt>
                <c:pt idx="6">
                  <c:v>4754.2374401625921</c:v>
                </c:pt>
                <c:pt idx="7">
                  <c:v>4624.5913679900777</c:v>
                </c:pt>
                <c:pt idx="8">
                  <c:v>3462.4022425340831</c:v>
                </c:pt>
                <c:pt idx="9">
                  <c:v>2933.3513900481776</c:v>
                </c:pt>
                <c:pt idx="10">
                  <c:v>2814.57704842769</c:v>
                </c:pt>
                <c:pt idx="11">
                  <c:v>2608.4255919156649</c:v>
                </c:pt>
                <c:pt idx="12">
                  <c:v>1928.6217780998463</c:v>
                </c:pt>
                <c:pt idx="13">
                  <c:v>1591.1021165836319</c:v>
                </c:pt>
                <c:pt idx="14">
                  <c:v>1591.1021165836319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5-4CE7-A9D7-6C8C3244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Aeroport - Plaça Espanya. Mayo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MAYO'!$I$51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ENERO'!$A$59:$A$72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MAYO'!$I$59:$I$72</c:f>
              <c:numCache>
                <c:formatCode>General</c:formatCode>
                <c:ptCount val="14"/>
                <c:pt idx="0">
                  <c:v>776</c:v>
                </c:pt>
                <c:pt idx="1">
                  <c:v>871</c:v>
                </c:pt>
                <c:pt idx="2">
                  <c:v>741</c:v>
                </c:pt>
                <c:pt idx="3">
                  <c:v>725</c:v>
                </c:pt>
                <c:pt idx="4">
                  <c:v>719</c:v>
                </c:pt>
                <c:pt idx="5">
                  <c:v>742</c:v>
                </c:pt>
                <c:pt idx="6">
                  <c:v>841</c:v>
                </c:pt>
                <c:pt idx="7">
                  <c:v>1000</c:v>
                </c:pt>
                <c:pt idx="8">
                  <c:v>816</c:v>
                </c:pt>
                <c:pt idx="9">
                  <c:v>805</c:v>
                </c:pt>
                <c:pt idx="10">
                  <c:v>816</c:v>
                </c:pt>
                <c:pt idx="11">
                  <c:v>701</c:v>
                </c:pt>
                <c:pt idx="12">
                  <c:v>618</c:v>
                </c:pt>
                <c:pt idx="13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6-4B57-9EC0-4BF5E9A05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MAYO'!$H$51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MAYO'!$H$59:$H$72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6-4B57-9EC0-4BF5E9A05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Plaça Espanya - Aeroport. Agosto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AGOSTO'!$I$24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ENERO'!$A$32:$A$45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AGOSTO'!$I$32:$I$45</c:f>
              <c:numCache>
                <c:formatCode>General</c:formatCode>
                <c:ptCount val="14"/>
                <c:pt idx="0">
                  <c:v>699</c:v>
                </c:pt>
                <c:pt idx="1">
                  <c:v>785</c:v>
                </c:pt>
                <c:pt idx="2">
                  <c:v>668</c:v>
                </c:pt>
                <c:pt idx="3">
                  <c:v>654</c:v>
                </c:pt>
                <c:pt idx="4">
                  <c:v>648</c:v>
                </c:pt>
                <c:pt idx="5">
                  <c:v>669</c:v>
                </c:pt>
                <c:pt idx="6">
                  <c:v>758</c:v>
                </c:pt>
                <c:pt idx="7">
                  <c:v>901</c:v>
                </c:pt>
                <c:pt idx="8">
                  <c:v>736</c:v>
                </c:pt>
                <c:pt idx="9">
                  <c:v>725</c:v>
                </c:pt>
                <c:pt idx="10">
                  <c:v>735</c:v>
                </c:pt>
                <c:pt idx="11">
                  <c:v>632</c:v>
                </c:pt>
                <c:pt idx="12">
                  <c:v>557</c:v>
                </c:pt>
                <c:pt idx="13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2-45DC-97DF-4C6C60731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AGOSTO'!$H$24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AGOSTO'!$H$32:$H$45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2-45DC-97DF-4C6C60731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Aeroport - Plaça Espanya. Agosto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AGOSTO'!$I$51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ENERO'!$A$59:$A$72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AGOSTO'!$I$59:$I$72</c:f>
              <c:numCache>
                <c:formatCode>General</c:formatCode>
                <c:ptCount val="14"/>
                <c:pt idx="0">
                  <c:v>810</c:v>
                </c:pt>
                <c:pt idx="1">
                  <c:v>910</c:v>
                </c:pt>
                <c:pt idx="2">
                  <c:v>774</c:v>
                </c:pt>
                <c:pt idx="3">
                  <c:v>757</c:v>
                </c:pt>
                <c:pt idx="4">
                  <c:v>751</c:v>
                </c:pt>
                <c:pt idx="5">
                  <c:v>775</c:v>
                </c:pt>
                <c:pt idx="6">
                  <c:v>878</c:v>
                </c:pt>
                <c:pt idx="7">
                  <c:v>1044</c:v>
                </c:pt>
                <c:pt idx="8">
                  <c:v>852</c:v>
                </c:pt>
                <c:pt idx="9">
                  <c:v>840</c:v>
                </c:pt>
                <c:pt idx="10">
                  <c:v>852</c:v>
                </c:pt>
                <c:pt idx="11">
                  <c:v>732</c:v>
                </c:pt>
                <c:pt idx="12">
                  <c:v>646</c:v>
                </c:pt>
                <c:pt idx="13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7-4112-9CFF-FA95C4063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AGOSTO'!$H$51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AGOSTO'!$H$59:$H$72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7-4112-9CFF-FA95C4063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'[1]ESC_1B_10 Enero'!$T$4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'[1]ESC_1B_10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'[1]ESC_1B_10 Enero'!$T$5:$T$20</c:f>
              <c:numCache>
                <c:formatCode>General</c:formatCode>
                <c:ptCount val="16"/>
                <c:pt idx="0">
                  <c:v>1436.7323134024155</c:v>
                </c:pt>
                <c:pt idx="1">
                  <c:v>0</c:v>
                </c:pt>
                <c:pt idx="2">
                  <c:v>675.76969800926508</c:v>
                </c:pt>
                <c:pt idx="3">
                  <c:v>504.4522340372875</c:v>
                </c:pt>
                <c:pt idx="4">
                  <c:v>265.19904589461237</c:v>
                </c:pt>
                <c:pt idx="5">
                  <c:v>178.20278460567823</c:v>
                </c:pt>
                <c:pt idx="6">
                  <c:v>574.77497019730868</c:v>
                </c:pt>
                <c:pt idx="7">
                  <c:v>919.03142936579047</c:v>
                </c:pt>
                <c:pt idx="8">
                  <c:v>223.46951238850349</c:v>
                </c:pt>
                <c:pt idx="9">
                  <c:v>277.14502271999999</c:v>
                </c:pt>
                <c:pt idx="10">
                  <c:v>655.35591046581976</c:v>
                </c:pt>
                <c:pt idx="11">
                  <c:v>537.72252740447141</c:v>
                </c:pt>
                <c:pt idx="12">
                  <c:v>983.16759350125392</c:v>
                </c:pt>
                <c:pt idx="13">
                  <c:v>595.22185982442727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F-4C47-B92C-80C61F0C4C0A}"/>
            </c:ext>
          </c:extLst>
        </c:ser>
        <c:ser>
          <c:idx val="1"/>
          <c:order val="1"/>
          <c:tx>
            <c:strRef>
              <c:f>'[1]ESC_1B_10 Enero'!$U$4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'[1]ESC_1B_10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'[1]ESC_1B_10 Enero'!$U$5:$U$20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26.820633909715884</c:v>
                </c:pt>
                <c:pt idx="3">
                  <c:v>57.562923500553147</c:v>
                </c:pt>
                <c:pt idx="4">
                  <c:v>20.453222596186919</c:v>
                </c:pt>
                <c:pt idx="5">
                  <c:v>72.396534400474835</c:v>
                </c:pt>
                <c:pt idx="6">
                  <c:v>69.193905123056467</c:v>
                </c:pt>
                <c:pt idx="7">
                  <c:v>40.261770602370056</c:v>
                </c:pt>
                <c:pt idx="8">
                  <c:v>84.627582842712897</c:v>
                </c:pt>
                <c:pt idx="9">
                  <c:v>21.317843411410141</c:v>
                </c:pt>
                <c:pt idx="10">
                  <c:v>103.55683586483252</c:v>
                </c:pt>
                <c:pt idx="11">
                  <c:v>149.42140653606478</c:v>
                </c:pt>
                <c:pt idx="12">
                  <c:v>346.22586917005026</c:v>
                </c:pt>
                <c:pt idx="13">
                  <c:v>1038.4905105851265</c:v>
                </c:pt>
                <c:pt idx="14">
                  <c:v>2172.2613015420793</c:v>
                </c:pt>
                <c:pt idx="15">
                  <c:v>3623.6545617321985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F-4C47-B92C-80C61F0C4C0A}"/>
            </c:ext>
          </c:extLst>
        </c:ser>
        <c:ser>
          <c:idx val="2"/>
          <c:order val="2"/>
          <c:tx>
            <c:strRef>
              <c:f>'[1]ESC_1B_10 Enero'!$V$4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'[1]ESC_1B_10 Enero'!$S$5:$S$20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'[1]ESC_1B_10 Enero'!$V$5:$V$20</c:f>
              <c:numCache>
                <c:formatCode>General</c:formatCode>
                <c:ptCount val="16"/>
                <c:pt idx="0">
                  <c:v>1436.7323134024155</c:v>
                </c:pt>
                <c:pt idx="1">
                  <c:v>1436.7323134024155</c:v>
                </c:pt>
                <c:pt idx="2">
                  <c:v>2085.6813775019646</c:v>
                </c:pt>
                <c:pt idx="3">
                  <c:v>2532.5706880386988</c:v>
                </c:pt>
                <c:pt idx="4">
                  <c:v>2777.3165113371242</c:v>
                </c:pt>
                <c:pt idx="5">
                  <c:v>2883.1227615423272</c:v>
                </c:pt>
                <c:pt idx="6">
                  <c:v>3388.7038266165791</c:v>
                </c:pt>
                <c:pt idx="7">
                  <c:v>4267.4734853799991</c:v>
                </c:pt>
                <c:pt idx="8">
                  <c:v>4406.3154149257889</c:v>
                </c:pt>
                <c:pt idx="9">
                  <c:v>4662.1425942343794</c:v>
                </c:pt>
                <c:pt idx="10">
                  <c:v>5213.9416688353667</c:v>
                </c:pt>
                <c:pt idx="11">
                  <c:v>5602.2427897037733</c:v>
                </c:pt>
                <c:pt idx="12">
                  <c:v>6239.1845140349769</c:v>
                </c:pt>
                <c:pt idx="13">
                  <c:v>5795.9158632742774</c:v>
                </c:pt>
                <c:pt idx="14">
                  <c:v>3623.6545617321981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F-4C47-B92C-80C61F0C4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 ESC_1B_10 MAYO'!$C$4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 ESC_1B_10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 ESC_1B_10 MAYO'!$C$5:$C$20</c:f>
              <c:numCache>
                <c:formatCode>General</c:formatCode>
                <c:ptCount val="16"/>
                <c:pt idx="0">
                  <c:v>3714.19</c:v>
                </c:pt>
                <c:pt idx="1">
                  <c:v>2397.13</c:v>
                </c:pt>
                <c:pt idx="2">
                  <c:v>1639.39</c:v>
                </c:pt>
                <c:pt idx="3">
                  <c:v>406.38400000000001</c:v>
                </c:pt>
                <c:pt idx="4">
                  <c:v>111.54600000000001</c:v>
                </c:pt>
                <c:pt idx="5">
                  <c:v>134.20394999999999</c:v>
                </c:pt>
                <c:pt idx="6">
                  <c:v>59.650000000000006</c:v>
                </c:pt>
                <c:pt idx="7">
                  <c:v>146.91399999999999</c:v>
                </c:pt>
                <c:pt idx="8">
                  <c:v>78.260900000000007</c:v>
                </c:pt>
                <c:pt idx="9">
                  <c:v>122.986</c:v>
                </c:pt>
                <c:pt idx="10">
                  <c:v>69.414500000000004</c:v>
                </c:pt>
                <c:pt idx="11">
                  <c:v>177.119</c:v>
                </c:pt>
                <c:pt idx="12">
                  <c:v>164.72499999999999</c:v>
                </c:pt>
                <c:pt idx="13">
                  <c:v>58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4-4847-9551-0E8F3E3B8B4E}"/>
            </c:ext>
          </c:extLst>
        </c:ser>
        <c:ser>
          <c:idx val="1"/>
          <c:order val="1"/>
          <c:tx>
            <c:strRef>
              <c:f>'[2] ESC_1B_10 MAYO'!$D$4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 ESC_1B_10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 ESC_1B_10 MAYO'!$D$5:$D$20</c:f>
              <c:numCache>
                <c:formatCode>General</c:formatCode>
                <c:ptCount val="16"/>
                <c:pt idx="0">
                  <c:v>0</c:v>
                </c:pt>
                <c:pt idx="1">
                  <c:v>31.2485</c:v>
                </c:pt>
                <c:pt idx="2">
                  <c:v>786.73199999999997</c:v>
                </c:pt>
                <c:pt idx="3">
                  <c:v>581.24</c:v>
                </c:pt>
                <c:pt idx="4">
                  <c:v>454.73099999999999</c:v>
                </c:pt>
                <c:pt idx="5">
                  <c:v>526.16200000000003</c:v>
                </c:pt>
                <c:pt idx="6">
                  <c:v>372.37</c:v>
                </c:pt>
                <c:pt idx="7">
                  <c:v>267.745</c:v>
                </c:pt>
                <c:pt idx="8">
                  <c:v>1130.53</c:v>
                </c:pt>
                <c:pt idx="9">
                  <c:v>590.61900000000003</c:v>
                </c:pt>
                <c:pt idx="10">
                  <c:v>162.012</c:v>
                </c:pt>
                <c:pt idx="11">
                  <c:v>369.815</c:v>
                </c:pt>
                <c:pt idx="12">
                  <c:v>950.58199999999999</c:v>
                </c:pt>
                <c:pt idx="13">
                  <c:v>435.26799999999997</c:v>
                </c:pt>
                <c:pt idx="14">
                  <c:v>0</c:v>
                </c:pt>
                <c:pt idx="15">
                  <c:v>2620.8200000000002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4-4847-9551-0E8F3E3B8B4E}"/>
            </c:ext>
          </c:extLst>
        </c:ser>
        <c:ser>
          <c:idx val="2"/>
          <c:order val="2"/>
          <c:tx>
            <c:strRef>
              <c:f>'[2] ESC_1B_10 MAYO'!$E$4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 ESC_1B_10 MAYO'!$B$5:$B$20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 ESC_1B_10 MAYO'!$E$5:$E$20</c:f>
              <c:numCache>
                <c:formatCode>General</c:formatCode>
                <c:ptCount val="16"/>
                <c:pt idx="0">
                  <c:v>3714.19</c:v>
                </c:pt>
                <c:pt idx="1">
                  <c:v>6080.0715</c:v>
                </c:pt>
                <c:pt idx="2">
                  <c:v>6932.7295000000004</c:v>
                </c:pt>
                <c:pt idx="3">
                  <c:v>6757.8735000000006</c:v>
                </c:pt>
                <c:pt idx="4">
                  <c:v>6414.6885000000011</c:v>
                </c:pt>
                <c:pt idx="5">
                  <c:v>6022.7304500000009</c:v>
                </c:pt>
                <c:pt idx="6">
                  <c:v>5710.0104500000007</c:v>
                </c:pt>
                <c:pt idx="7">
                  <c:v>5589.1794500000005</c:v>
                </c:pt>
                <c:pt idx="8">
                  <c:v>4536.910350000001</c:v>
                </c:pt>
                <c:pt idx="9">
                  <c:v>4069.2773500000008</c:v>
                </c:pt>
                <c:pt idx="10">
                  <c:v>3976.6798500000009</c:v>
                </c:pt>
                <c:pt idx="11">
                  <c:v>3783.983850000001</c:v>
                </c:pt>
                <c:pt idx="12">
                  <c:v>2998.126850000001</c:v>
                </c:pt>
                <c:pt idx="13">
                  <c:v>2620.858850000001</c:v>
                </c:pt>
                <c:pt idx="14">
                  <c:v>2620.858850000001</c:v>
                </c:pt>
                <c:pt idx="15">
                  <c:v>3.8850000000820728E-2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84-4847-9551-0E8F3E3B8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 ESC_1B_10 MAYO'!$T$4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 ESC_1B_10 MAYO'!$T$5:$T$20</c:f>
              <c:numCache>
                <c:formatCode>General</c:formatCode>
                <c:ptCount val="16"/>
                <c:pt idx="0">
                  <c:v>2867.62</c:v>
                </c:pt>
                <c:pt idx="1">
                  <c:v>0</c:v>
                </c:pt>
                <c:pt idx="2">
                  <c:v>989.70799999999997</c:v>
                </c:pt>
                <c:pt idx="3">
                  <c:v>745.81899999999996</c:v>
                </c:pt>
                <c:pt idx="4">
                  <c:v>356.87799999999999</c:v>
                </c:pt>
                <c:pt idx="5">
                  <c:v>208.482</c:v>
                </c:pt>
                <c:pt idx="6">
                  <c:v>679.50900000000001</c:v>
                </c:pt>
                <c:pt idx="7">
                  <c:v>1049.9000000000001</c:v>
                </c:pt>
                <c:pt idx="8">
                  <c:v>290.19400000000002</c:v>
                </c:pt>
                <c:pt idx="9">
                  <c:v>342.053</c:v>
                </c:pt>
                <c:pt idx="10">
                  <c:v>671.46900000000005</c:v>
                </c:pt>
                <c:pt idx="11">
                  <c:v>666.35500000000002</c:v>
                </c:pt>
                <c:pt idx="12">
                  <c:v>1136.55</c:v>
                </c:pt>
                <c:pt idx="13">
                  <c:v>640.39200000000005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C-4779-BCB8-9E9117636CFA}"/>
            </c:ext>
          </c:extLst>
        </c:ser>
        <c:ser>
          <c:idx val="1"/>
          <c:order val="1"/>
          <c:tx>
            <c:strRef>
              <c:f>'[2] ESC_1B_10 MAYO'!$U$4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 ESC_1B_10 MAYO'!$U$5:$U$20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47</c:v>
                </c:pt>
                <c:pt idx="3">
                  <c:v>105</c:v>
                </c:pt>
                <c:pt idx="4">
                  <c:v>34</c:v>
                </c:pt>
                <c:pt idx="5">
                  <c:v>99.985500000000002</c:v>
                </c:pt>
                <c:pt idx="6">
                  <c:v>98.009900000000002</c:v>
                </c:pt>
                <c:pt idx="7">
                  <c:v>56.153700000000001</c:v>
                </c:pt>
                <c:pt idx="8">
                  <c:v>141.70140000000001</c:v>
                </c:pt>
                <c:pt idx="9">
                  <c:v>35.200000000000003</c:v>
                </c:pt>
                <c:pt idx="10">
                  <c:v>121.7205</c:v>
                </c:pt>
                <c:pt idx="11">
                  <c:v>227.41300000000001</c:v>
                </c:pt>
                <c:pt idx="12">
                  <c:v>488.20499999999998</c:v>
                </c:pt>
                <c:pt idx="13">
                  <c:v>1455.35</c:v>
                </c:pt>
                <c:pt idx="14">
                  <c:v>2943.7</c:v>
                </c:pt>
                <c:pt idx="15">
                  <c:v>4791.42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3C-4779-BCB8-9E9117636CFA}"/>
            </c:ext>
          </c:extLst>
        </c:ser>
        <c:ser>
          <c:idx val="2"/>
          <c:order val="2"/>
          <c:tx>
            <c:strRef>
              <c:f>'[2] ESC_1B_10 MAYO'!$V$4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 ESC_1B_10 MAYO'!$S$5:$S$20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 ESC_1B_10 MAYO'!$V$5:$V$20</c:f>
              <c:numCache>
                <c:formatCode>General</c:formatCode>
                <c:ptCount val="16"/>
                <c:pt idx="0">
                  <c:v>2867.62</c:v>
                </c:pt>
                <c:pt idx="1">
                  <c:v>2867.62</c:v>
                </c:pt>
                <c:pt idx="2">
                  <c:v>3810.328</c:v>
                </c:pt>
                <c:pt idx="3">
                  <c:v>4451.1469999999999</c:v>
                </c:pt>
                <c:pt idx="4">
                  <c:v>4774.0249999999996</c:v>
                </c:pt>
                <c:pt idx="5">
                  <c:v>4882.5214999999998</c:v>
                </c:pt>
                <c:pt idx="6">
                  <c:v>5464.0205999999998</c:v>
                </c:pt>
                <c:pt idx="7">
                  <c:v>6457.7668999999996</c:v>
                </c:pt>
                <c:pt idx="8">
                  <c:v>6606.2595000000001</c:v>
                </c:pt>
                <c:pt idx="9">
                  <c:v>6913.1125000000002</c:v>
                </c:pt>
                <c:pt idx="10">
                  <c:v>7462.8609999999999</c:v>
                </c:pt>
                <c:pt idx="11">
                  <c:v>7901.8029999999999</c:v>
                </c:pt>
                <c:pt idx="12">
                  <c:v>8550.1479999999992</c:v>
                </c:pt>
                <c:pt idx="13">
                  <c:v>7735.1899999999987</c:v>
                </c:pt>
                <c:pt idx="14">
                  <c:v>4791.4899999999989</c:v>
                </c:pt>
                <c:pt idx="15">
                  <c:v>6.9999999998799467E-2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3C-4779-BCB8-9E9117636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'[2]ESC_1B_10 Agosto'!$C$4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'[2]ESC_1B_10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'[2]ESC_1B_10 Agosto'!$C$5:$C$20</c:f>
              <c:numCache>
                <c:formatCode>General</c:formatCode>
                <c:ptCount val="16"/>
                <c:pt idx="0">
                  <c:v>3902.2790479490695</c:v>
                </c:pt>
                <c:pt idx="1">
                  <c:v>2531.4205374199505</c:v>
                </c:pt>
                <c:pt idx="2">
                  <c:v>1623.7170554493309</c:v>
                </c:pt>
                <c:pt idx="3">
                  <c:v>411.6718810744012</c:v>
                </c:pt>
                <c:pt idx="4">
                  <c:v>114.08129336718896</c:v>
                </c:pt>
                <c:pt idx="5">
                  <c:v>184.26995272232301</c:v>
                </c:pt>
                <c:pt idx="6">
                  <c:v>66.139920000000004</c:v>
                </c:pt>
                <c:pt idx="7">
                  <c:v>141.81787512388502</c:v>
                </c:pt>
                <c:pt idx="8">
                  <c:v>59.168924858669804</c:v>
                </c:pt>
                <c:pt idx="9">
                  <c:v>95.511376372492364</c:v>
                </c:pt>
                <c:pt idx="10">
                  <c:v>52.176930788643531</c:v>
                </c:pt>
                <c:pt idx="11">
                  <c:v>174.14760002956174</c:v>
                </c:pt>
                <c:pt idx="12">
                  <c:v>173.01424682395643</c:v>
                </c:pt>
                <c:pt idx="13">
                  <c:v>63.442719419055962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7-429B-BA25-72E79A6361D0}"/>
            </c:ext>
          </c:extLst>
        </c:ser>
        <c:ser>
          <c:idx val="1"/>
          <c:order val="1"/>
          <c:tx>
            <c:strRef>
              <c:f>'[2]ESC_1B_10 Agosto'!$D$4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'[2]ESC_1B_10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'[2]ESC_1B_10 Agosto'!$D$5:$D$20</c:f>
              <c:numCache>
                <c:formatCode>General</c:formatCode>
                <c:ptCount val="16"/>
                <c:pt idx="0">
                  <c:v>0</c:v>
                </c:pt>
                <c:pt idx="1">
                  <c:v>31.788148225017711</c:v>
                </c:pt>
                <c:pt idx="2">
                  <c:v>766.23633643809239</c:v>
                </c:pt>
                <c:pt idx="3">
                  <c:v>562.59839378475579</c:v>
                </c:pt>
                <c:pt idx="4">
                  <c:v>441.17427641709253</c:v>
                </c:pt>
                <c:pt idx="5">
                  <c:v>707.83429941534951</c:v>
                </c:pt>
                <c:pt idx="6">
                  <c:v>395.62413498382904</c:v>
                </c:pt>
                <c:pt idx="7">
                  <c:v>251.82658125449493</c:v>
                </c:pt>
                <c:pt idx="8">
                  <c:v>836.95404766699767</c:v>
                </c:pt>
                <c:pt idx="9">
                  <c:v>436.32580277651033</c:v>
                </c:pt>
                <c:pt idx="10">
                  <c:v>114.61733648191208</c:v>
                </c:pt>
                <c:pt idx="11">
                  <c:v>359.97182990277429</c:v>
                </c:pt>
                <c:pt idx="12">
                  <c:v>977.77474580729267</c:v>
                </c:pt>
                <c:pt idx="13">
                  <c:v>463.83406591312865</c:v>
                </c:pt>
                <c:pt idx="14">
                  <c:v>0</c:v>
                </c:pt>
                <c:pt idx="15">
                  <c:v>3246.2993623312836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7-429B-BA25-72E79A6361D0}"/>
            </c:ext>
          </c:extLst>
        </c:ser>
        <c:ser>
          <c:idx val="2"/>
          <c:order val="2"/>
          <c:tx>
            <c:strRef>
              <c:f>'[2]ESC_1B_10 Agosto'!$E$4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'[2]ESC_1B_10 Agosto'!$B$5:$B$20</c:f>
              <c:strCache>
                <c:ptCount val="16"/>
                <c:pt idx="0">
                  <c:v>TRV01a_Plaça Espanya </c:v>
                </c:pt>
                <c:pt idx="1">
                  <c:v>TRV02a_Gabriel Alomar-Ctra.Manacor</c:v>
                </c:pt>
                <c:pt idx="2">
                  <c:v>TRV03a_Gabriel Alomar-Perez Galdos</c:v>
                </c:pt>
                <c:pt idx="3">
                  <c:v>TRV04a_Manuel Azaña </c:v>
                </c:pt>
                <c:pt idx="4">
                  <c:v>TRV05a_Av.Mèxic </c:v>
                </c:pt>
                <c:pt idx="5">
                  <c:v>TRV06a_Ciutat de la Plata </c:v>
                </c:pt>
                <c:pt idx="6">
                  <c:v>TRV07a_Llucmajor (Pavelló Josep Amengual) </c:v>
                </c:pt>
                <c:pt idx="7">
                  <c:v>TRV08a_Llucmajor(Repsol-BP) </c:v>
                </c:pt>
                <c:pt idx="8">
                  <c:v>TRV09a_Cardenal Rosell-Ciutat Jardí</c:v>
                </c:pt>
                <c:pt idx="9">
                  <c:v>TRV10a_Cardenal Rosell-Guasp </c:v>
                </c:pt>
                <c:pt idx="10">
                  <c:v>TRV11a_Darwin </c:v>
                </c:pt>
                <c:pt idx="11">
                  <c:v>TRV12a_Can Pastilla-Antoni Llobrés i Morey </c:v>
                </c:pt>
                <c:pt idx="12">
                  <c:v>TRV13a_Can Pastilla-Virgili </c:v>
                </c:pt>
                <c:pt idx="13">
                  <c:v>TRV14a_Gran Via de Can Pastilla</c:v>
                </c:pt>
                <c:pt idx="14">
                  <c:v>TRV15a_Aeroport-Parquing LE </c:v>
                </c:pt>
                <c:pt idx="15">
                  <c:v>TRV16a_Aeroport</c:v>
                </c:pt>
              </c:strCache>
            </c:strRef>
          </c:cat>
          <c:val>
            <c:numRef>
              <c:f>'[2]ESC_1B_10 Agosto'!$E$5:$E$20</c:f>
              <c:numCache>
                <c:formatCode>General</c:formatCode>
                <c:ptCount val="16"/>
                <c:pt idx="0">
                  <c:v>3902.2790479490695</c:v>
                </c:pt>
                <c:pt idx="1">
                  <c:v>6401.9114371440028</c:v>
                </c:pt>
                <c:pt idx="2">
                  <c:v>7259.3921561552415</c:v>
                </c:pt>
                <c:pt idx="3">
                  <c:v>7108.4656434448871</c:v>
                </c:pt>
                <c:pt idx="4">
                  <c:v>6781.3726603949835</c:v>
                </c:pt>
                <c:pt idx="5">
                  <c:v>6257.8083137019566</c:v>
                </c:pt>
                <c:pt idx="6">
                  <c:v>5928.3240987181271</c:v>
                </c:pt>
                <c:pt idx="7">
                  <c:v>5818.3153925875167</c:v>
                </c:pt>
                <c:pt idx="8">
                  <c:v>5040.5302697791885</c:v>
                </c:pt>
                <c:pt idx="9">
                  <c:v>4699.7158433751702</c:v>
                </c:pt>
                <c:pt idx="10">
                  <c:v>4637.2754376819012</c:v>
                </c:pt>
                <c:pt idx="11">
                  <c:v>4451.4512078086882</c:v>
                </c:pt>
                <c:pt idx="12">
                  <c:v>3646.690708825352</c:v>
                </c:pt>
                <c:pt idx="13">
                  <c:v>3246.2993623312796</c:v>
                </c:pt>
                <c:pt idx="14">
                  <c:v>3246.2993623312796</c:v>
                </c:pt>
                <c:pt idx="15">
                  <c:v>-4.0927261579781771E-12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7-429B-BA25-72E79A636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'[2]ESC_1B_10 Agosto'!$T$4</c:f>
              <c:strCache>
                <c:ptCount val="1"/>
                <c:pt idx="0">
                  <c:v>Subidas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'[2]ESC_1B_10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'[2]ESC_1B_10 Agosto'!$T$5:$T$20</c:f>
              <c:numCache>
                <c:formatCode>General</c:formatCode>
                <c:ptCount val="16"/>
                <c:pt idx="0">
                  <c:v>3372.4111887751815</c:v>
                </c:pt>
                <c:pt idx="1">
                  <c:v>0</c:v>
                </c:pt>
                <c:pt idx="2">
                  <c:v>1082.582188806811</c:v>
                </c:pt>
                <c:pt idx="3">
                  <c:v>783.34990166639159</c:v>
                </c:pt>
                <c:pt idx="4">
                  <c:v>350.89091064961934</c:v>
                </c:pt>
                <c:pt idx="5">
                  <c:v>156.7100661198738</c:v>
                </c:pt>
                <c:pt idx="6">
                  <c:v>527.70916890943613</c:v>
                </c:pt>
                <c:pt idx="7">
                  <c:v>793.77382842667828</c:v>
                </c:pt>
                <c:pt idx="8">
                  <c:v>280.12780574826564</c:v>
                </c:pt>
                <c:pt idx="9">
                  <c:v>379.26836639999999</c:v>
                </c:pt>
                <c:pt idx="10">
                  <c:v>921.96661040532365</c:v>
                </c:pt>
                <c:pt idx="11">
                  <c:v>681.50036972812291</c:v>
                </c:pt>
                <c:pt idx="12">
                  <c:v>1151.3388234652709</c:v>
                </c:pt>
                <c:pt idx="13">
                  <c:v>634.26970554493312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0-4540-871A-E769A6095332}"/>
            </c:ext>
          </c:extLst>
        </c:ser>
        <c:ser>
          <c:idx val="1"/>
          <c:order val="1"/>
          <c:tx>
            <c:strRef>
              <c:f>'[2]ESC_1B_10 Agosto'!$U$4</c:f>
              <c:strCache>
                <c:ptCount val="1"/>
                <c:pt idx="0">
                  <c:v>Bajadas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'[2]ESC_1B_10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'[2]ESC_1B_10 Agosto'!$U$5:$U$20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52.618732366011201</c:v>
                </c:pt>
                <c:pt idx="3">
                  <c:v>113.46845726239658</c:v>
                </c:pt>
                <c:pt idx="4">
                  <c:v>34.769586970343894</c:v>
                </c:pt>
                <c:pt idx="5">
                  <c:v>74.315049735633707</c:v>
                </c:pt>
                <c:pt idx="6">
                  <c:v>76.069410366363087</c:v>
                </c:pt>
                <c:pt idx="7">
                  <c:v>43.675161697024805</c:v>
                </c:pt>
                <c:pt idx="8">
                  <c:v>140.02028676144698</c:v>
                </c:pt>
                <c:pt idx="9">
                  <c:v>39.290483928434071</c:v>
                </c:pt>
                <c:pt idx="10">
                  <c:v>172.03328121444488</c:v>
                </c:pt>
                <c:pt idx="11">
                  <c:v>231.79684947451884</c:v>
                </c:pt>
                <c:pt idx="12">
                  <c:v>496.45722818915146</c:v>
                </c:pt>
                <c:pt idx="13">
                  <c:v>1489.1553276824329</c:v>
                </c:pt>
                <c:pt idx="14">
                  <c:v>3146.0543687834506</c:v>
                </c:pt>
                <c:pt idx="15">
                  <c:v>5006.1747102142554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0-4540-871A-E769A6095332}"/>
            </c:ext>
          </c:extLst>
        </c:ser>
        <c:ser>
          <c:idx val="2"/>
          <c:order val="2"/>
          <c:tx>
            <c:strRef>
              <c:f>'[2]ESC_1B_10 Agosto'!$V$4</c:f>
              <c:strCache>
                <c:ptCount val="1"/>
                <c:pt idx="0">
                  <c:v>Carga TP después de la Parada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'[2]ESC_1B_10 Agosto'!$S$5:$S$20</c:f>
              <c:strCache>
                <c:ptCount val="16"/>
                <c:pt idx="0">
                  <c:v>TRV16b_Aeroport</c:v>
                </c:pt>
                <c:pt idx="1">
                  <c:v>TRV15b_Aeroport-Parquing LE</c:v>
                </c:pt>
                <c:pt idx="2">
                  <c:v>TRV14b_Gran Via de Can Pastilla </c:v>
                </c:pt>
                <c:pt idx="3">
                  <c:v>TRV13b_Can Pastilla-Virgili </c:v>
                </c:pt>
                <c:pt idx="4">
                  <c:v>TRV12b_Can Pastilla-Antoni Llobrés i Morey </c:v>
                </c:pt>
                <c:pt idx="5">
                  <c:v>TRV11b_Darwin</c:v>
                </c:pt>
                <c:pt idx="6">
                  <c:v>TRV10b_Cardenal Rosell-Guasp </c:v>
                </c:pt>
                <c:pt idx="7">
                  <c:v>TRV09b_Cardenal Rosell-Ciutat Jardí</c:v>
                </c:pt>
                <c:pt idx="8">
                  <c:v>TRV08b_Llucmajor(Repsol-BP)</c:v>
                </c:pt>
                <c:pt idx="9">
                  <c:v>TRV07b_Llucmajor (Pavelló Josep Amengual)</c:v>
                </c:pt>
                <c:pt idx="10">
                  <c:v>TRV06b_Ciutat de la Plata</c:v>
                </c:pt>
                <c:pt idx="11">
                  <c:v>TRV05b_Av. Mexic </c:v>
                </c:pt>
                <c:pt idx="12">
                  <c:v>TRV04b_Manuel Azaña </c:v>
                </c:pt>
                <c:pt idx="13">
                  <c:v>TRV03b_Gabriel Alomar-Perez Galdos </c:v>
                </c:pt>
                <c:pt idx="14">
                  <c:v>TRV02b_Gabriel Alomar-Ctra.Manacor </c:v>
                </c:pt>
                <c:pt idx="15">
                  <c:v>TRV01b_Plaça Espanya</c:v>
                </c:pt>
              </c:strCache>
            </c:strRef>
          </c:cat>
          <c:val>
            <c:numRef>
              <c:f>'[2]ESC_1B_10 Agosto'!$V$5:$V$20</c:f>
              <c:numCache>
                <c:formatCode>General</c:formatCode>
                <c:ptCount val="16"/>
                <c:pt idx="0">
                  <c:v>3372.4111887751815</c:v>
                </c:pt>
                <c:pt idx="1">
                  <c:v>3372.4111887751815</c:v>
                </c:pt>
                <c:pt idx="2">
                  <c:v>4402.3746452159812</c:v>
                </c:pt>
                <c:pt idx="3">
                  <c:v>5072.2560896199766</c:v>
                </c:pt>
                <c:pt idx="4">
                  <c:v>5388.3774132992521</c:v>
                </c:pt>
                <c:pt idx="5">
                  <c:v>5470.7724296834922</c:v>
                </c:pt>
                <c:pt idx="6">
                  <c:v>5922.4121882265654</c:v>
                </c:pt>
                <c:pt idx="7">
                  <c:v>6672.5108549562183</c:v>
                </c:pt>
                <c:pt idx="8">
                  <c:v>6812.6183739430371</c:v>
                </c:pt>
                <c:pt idx="9">
                  <c:v>7152.596256414603</c:v>
                </c:pt>
                <c:pt idx="10">
                  <c:v>7902.5295856054818</c:v>
                </c:pt>
                <c:pt idx="11">
                  <c:v>8352.2331058590862</c:v>
                </c:pt>
                <c:pt idx="12">
                  <c:v>9007.1147011352041</c:v>
                </c:pt>
                <c:pt idx="13">
                  <c:v>8152.2290789977051</c:v>
                </c:pt>
                <c:pt idx="14">
                  <c:v>5006.1747102142544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0-4540-871A-E769A609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117540623"/>
        <c:axId val="117540207"/>
      </c:barChart>
      <c:catAx>
        <c:axId val="11754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207"/>
        <c:crosses val="autoZero"/>
        <c:auto val="1"/>
        <c:lblAlgn val="ctr"/>
        <c:lblOffset val="100"/>
        <c:noMultiLvlLbl val="0"/>
      </c:catAx>
      <c:valAx>
        <c:axId val="1175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anklin Gothic Book" panose="020B0503020102020204" pitchFamily="34" charset="0"/>
                <a:ea typeface="+mn-ea"/>
                <a:cs typeface="+mn-cs"/>
              </a:defRPr>
            </a:pPr>
            <a:endParaRPr lang="es-ES"/>
          </a:p>
        </c:txPr>
        <c:crossAx val="11754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ranklin Gothic Book" panose="020B05030201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Plaça Espanya - Aeroport. Enero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ENERO'!$I$24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ENERO'!$A$32:$A$45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ENERO'!$I$32:$I$45</c:f>
              <c:numCache>
                <c:formatCode>General</c:formatCode>
                <c:ptCount val="14"/>
                <c:pt idx="0">
                  <c:v>610</c:v>
                </c:pt>
                <c:pt idx="1">
                  <c:v>685</c:v>
                </c:pt>
                <c:pt idx="2">
                  <c:v>583</c:v>
                </c:pt>
                <c:pt idx="3">
                  <c:v>570</c:v>
                </c:pt>
                <c:pt idx="4">
                  <c:v>566</c:v>
                </c:pt>
                <c:pt idx="5">
                  <c:v>584</c:v>
                </c:pt>
                <c:pt idx="6">
                  <c:v>661</c:v>
                </c:pt>
                <c:pt idx="7">
                  <c:v>787</c:v>
                </c:pt>
                <c:pt idx="8">
                  <c:v>642</c:v>
                </c:pt>
                <c:pt idx="9">
                  <c:v>633</c:v>
                </c:pt>
                <c:pt idx="10">
                  <c:v>642</c:v>
                </c:pt>
                <c:pt idx="11">
                  <c:v>551</c:v>
                </c:pt>
                <c:pt idx="12">
                  <c:v>486</c:v>
                </c:pt>
                <c:pt idx="13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5-45E8-9BEF-6AFE82DC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ENERO'!$H$24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ENERO'!$H$32:$H$45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5-45E8-9BEF-6AFE82DC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Aeroport - Plaça Espanya. Enero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ENERO'!$I$51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ENERO'!$A$59:$A$72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ENERO'!$I$59:$I$72</c:f>
              <c:numCache>
                <c:formatCode>General</c:formatCode>
                <c:ptCount val="14"/>
                <c:pt idx="0">
                  <c:v>570</c:v>
                </c:pt>
                <c:pt idx="1">
                  <c:v>641</c:v>
                </c:pt>
                <c:pt idx="2">
                  <c:v>545</c:v>
                </c:pt>
                <c:pt idx="3">
                  <c:v>533</c:v>
                </c:pt>
                <c:pt idx="4">
                  <c:v>529</c:v>
                </c:pt>
                <c:pt idx="5">
                  <c:v>546</c:v>
                </c:pt>
                <c:pt idx="6">
                  <c:v>618</c:v>
                </c:pt>
                <c:pt idx="7">
                  <c:v>735</c:v>
                </c:pt>
                <c:pt idx="8">
                  <c:v>600</c:v>
                </c:pt>
                <c:pt idx="9">
                  <c:v>592</c:v>
                </c:pt>
                <c:pt idx="10">
                  <c:v>600</c:v>
                </c:pt>
                <c:pt idx="11">
                  <c:v>515</c:v>
                </c:pt>
                <c:pt idx="12">
                  <c:v>455</c:v>
                </c:pt>
                <c:pt idx="13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D-43C2-BEAC-8418C29C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ENERO'!$H$51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ENERO'!$H$59:$H$72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D-43C2-BEAC-8418C29C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Plaça Espanya - Aeroport. Mayo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'Capacidad sistema HP MAYO'!$I$24</c:f>
              <c:strCache>
                <c:ptCount val="1"/>
                <c:pt idx="0">
                  <c:v>Carga máxima</c:v>
                </c:pt>
              </c:strCache>
            </c:strRef>
          </c:tx>
          <c:invertIfNegative val="0"/>
          <c:cat>
            <c:strRef>
              <c:f>'Capacidad sistema HP ENERO'!$A$32:$A$45</c:f>
              <c:strCache>
                <c:ptCount val="14"/>
                <c:pt idx="0">
                  <c:v>7h</c:v>
                </c:pt>
                <c:pt idx="1">
                  <c:v>8h</c:v>
                </c:pt>
                <c:pt idx="2">
                  <c:v>9h</c:v>
                </c:pt>
                <c:pt idx="3">
                  <c:v>10h</c:v>
                </c:pt>
                <c:pt idx="4">
                  <c:v>11h</c:v>
                </c:pt>
                <c:pt idx="5">
                  <c:v>12h</c:v>
                </c:pt>
                <c:pt idx="6">
                  <c:v>13h</c:v>
                </c:pt>
                <c:pt idx="7">
                  <c:v>14h</c:v>
                </c:pt>
                <c:pt idx="8">
                  <c:v>15h</c:v>
                </c:pt>
                <c:pt idx="9">
                  <c:v>16h</c:v>
                </c:pt>
                <c:pt idx="10">
                  <c:v>17h</c:v>
                </c:pt>
                <c:pt idx="11">
                  <c:v>18h</c:v>
                </c:pt>
                <c:pt idx="12">
                  <c:v>19h</c:v>
                </c:pt>
                <c:pt idx="13">
                  <c:v>20h</c:v>
                </c:pt>
              </c:strCache>
            </c:strRef>
          </c:cat>
          <c:val>
            <c:numRef>
              <c:f>'Capacidad sistema HP MAYO'!$I$32:$I$45</c:f>
              <c:numCache>
                <c:formatCode>General</c:formatCode>
                <c:ptCount val="14"/>
                <c:pt idx="0">
                  <c:v>676</c:v>
                </c:pt>
                <c:pt idx="1">
                  <c:v>759</c:v>
                </c:pt>
                <c:pt idx="2">
                  <c:v>646</c:v>
                </c:pt>
                <c:pt idx="3">
                  <c:v>632</c:v>
                </c:pt>
                <c:pt idx="4">
                  <c:v>627</c:v>
                </c:pt>
                <c:pt idx="5">
                  <c:v>647</c:v>
                </c:pt>
                <c:pt idx="6">
                  <c:v>733</c:v>
                </c:pt>
                <c:pt idx="7">
                  <c:v>872</c:v>
                </c:pt>
                <c:pt idx="8">
                  <c:v>712</c:v>
                </c:pt>
                <c:pt idx="9">
                  <c:v>702</c:v>
                </c:pt>
                <c:pt idx="10">
                  <c:v>711</c:v>
                </c:pt>
                <c:pt idx="11">
                  <c:v>611</c:v>
                </c:pt>
                <c:pt idx="12">
                  <c:v>539</c:v>
                </c:pt>
                <c:pt idx="13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5-4A16-8BC8-4EF6D00FA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412224"/>
        <c:axId val="104006784"/>
      </c:barChart>
      <c:lineChart>
        <c:grouping val="standard"/>
        <c:varyColors val="0"/>
        <c:ser>
          <c:idx val="1"/>
          <c:order val="1"/>
          <c:tx>
            <c:strRef>
              <c:f>'Capacidad sistema HP MAYO'!$H$24</c:f>
              <c:strCache>
                <c:ptCount val="1"/>
                <c:pt idx="0">
                  <c:v>Capacidad sistema  por hora</c:v>
                </c:pt>
              </c:strCache>
            </c:strRef>
          </c:tx>
          <c:marker>
            <c:symbol val="none"/>
          </c:marker>
          <c:val>
            <c:numRef>
              <c:f>'Capacidad sistema HP MAYO'!$H$32:$H$45</c:f>
              <c:numCache>
                <c:formatCode>General</c:formatCode>
                <c:ptCount val="14"/>
                <c:pt idx="0">
                  <c:v>1728</c:v>
                </c:pt>
                <c:pt idx="1">
                  <c:v>1728</c:v>
                </c:pt>
                <c:pt idx="2">
                  <c:v>1728</c:v>
                </c:pt>
                <c:pt idx="3">
                  <c:v>1728</c:v>
                </c:pt>
                <c:pt idx="4">
                  <c:v>1728</c:v>
                </c:pt>
                <c:pt idx="5">
                  <c:v>1728</c:v>
                </c:pt>
                <c:pt idx="6">
                  <c:v>1728</c:v>
                </c:pt>
                <c:pt idx="7">
                  <c:v>1728</c:v>
                </c:pt>
                <c:pt idx="8">
                  <c:v>1728</c:v>
                </c:pt>
                <c:pt idx="9">
                  <c:v>1728</c:v>
                </c:pt>
                <c:pt idx="10">
                  <c:v>1728</c:v>
                </c:pt>
                <c:pt idx="11">
                  <c:v>1728</c:v>
                </c:pt>
                <c:pt idx="12">
                  <c:v>1728</c:v>
                </c:pt>
                <c:pt idx="13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5-4A16-8BC8-4EF6D00FA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12224"/>
        <c:axId val="104006784"/>
      </c:lineChart>
      <c:catAx>
        <c:axId val="10141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06784"/>
        <c:crosses val="autoZero"/>
        <c:auto val="1"/>
        <c:lblAlgn val="ctr"/>
        <c:lblOffset val="100"/>
        <c:noMultiLvlLbl val="0"/>
      </c:catAx>
      <c:valAx>
        <c:axId val="10400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1412224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21393</xdr:colOff>
      <xdr:row>1</xdr:row>
      <xdr:rowOff>24993</xdr:rowOff>
    </xdr:from>
    <xdr:to>
      <xdr:col>16</xdr:col>
      <xdr:colOff>70347</xdr:colOff>
      <xdr:row>21</xdr:row>
      <xdr:rowOff>96345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284470-654E-4BFE-BD56-A045DB0E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61685</xdr:colOff>
      <xdr:row>0</xdr:row>
      <xdr:rowOff>149906</xdr:rowOff>
    </xdr:from>
    <xdr:to>
      <xdr:col>33</xdr:col>
      <xdr:colOff>103019</xdr:colOff>
      <xdr:row>21</xdr:row>
      <xdr:rowOff>5945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542AFE8-FB3E-4F42-B32C-6DAFAA172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177800</xdr:rowOff>
    </xdr:from>
    <xdr:to>
      <xdr:col>14</xdr:col>
      <xdr:colOff>429954</xdr:colOff>
      <xdr:row>21</xdr:row>
      <xdr:rowOff>47446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B4379F-73A6-4BB1-B0E8-D337C4474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660400</xdr:colOff>
      <xdr:row>1</xdr:row>
      <xdr:rowOff>27441</xdr:rowOff>
    </xdr:from>
    <xdr:to>
      <xdr:col>31</xdr:col>
      <xdr:colOff>701734</xdr:colOff>
      <xdr:row>21</xdr:row>
      <xdr:rowOff>87587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B33C23-A6E9-4364-856C-8F6D07590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21393</xdr:colOff>
      <xdr:row>1</xdr:row>
      <xdr:rowOff>24993</xdr:rowOff>
    </xdr:from>
    <xdr:to>
      <xdr:col>16</xdr:col>
      <xdr:colOff>70347</xdr:colOff>
      <xdr:row>21</xdr:row>
      <xdr:rowOff>96345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F62AFD-BDEA-4175-8A60-DED9472EB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61685</xdr:colOff>
      <xdr:row>0</xdr:row>
      <xdr:rowOff>149906</xdr:rowOff>
    </xdr:from>
    <xdr:to>
      <xdr:col>33</xdr:col>
      <xdr:colOff>103019</xdr:colOff>
      <xdr:row>21</xdr:row>
      <xdr:rowOff>5945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F8E3F7-6F9B-45D1-850F-27211FBC3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5</xdr:col>
      <xdr:colOff>475177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8D468F-6517-6124-B71F-2139D1ADF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41315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F7D453-F005-7A58-9CA5-FD44036B4C59}"/>
            </a:ext>
          </a:extLst>
        </xdr:cNvPr>
        <xdr:cNvCxnSpPr/>
      </xdr:nvCxnSpPr>
      <xdr:spPr>
        <a:xfrm>
          <a:off x="852237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</xdr:row>
      <xdr:rowOff>0</xdr:rowOff>
    </xdr:from>
    <xdr:to>
      <xdr:col>29</xdr:col>
      <xdr:colOff>632529</xdr:colOff>
      <xdr:row>46</xdr:row>
      <xdr:rowOff>131990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CE458AB-35D0-45D3-B116-436ED930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29</xdr:col>
      <xdr:colOff>632529</xdr:colOff>
      <xdr:row>73</xdr:row>
      <xdr:rowOff>131990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015CDFF-2F12-48ED-BF0F-DB8C8B6A5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469734</xdr:colOff>
      <xdr:row>17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926B4D-27BE-41DA-86C9-F313845E5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22734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B7407E2-23A8-42FE-ACE4-974A0F33E373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464291</xdr:colOff>
      <xdr:row>17</xdr:row>
      <xdr:rowOff>38100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D10F071-FF1E-4C5C-A59B-201F0624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7291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B91D0051-8B50-4F00-BD40-F7382B3129F8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458848</xdr:colOff>
      <xdr:row>17</xdr:row>
      <xdr:rowOff>38100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AE8874A-54C7-45FE-A1B6-E0159DA7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1848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C7340FF4-F984-4E40-9D23-76A79E210FB1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5</xdr:col>
      <xdr:colOff>475177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313190-873B-4B2A-9FF5-773317E7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28177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FC82F41-943B-4590-804B-DA11B0B1DE16}"/>
            </a:ext>
          </a:extLst>
        </xdr:cNvPr>
        <xdr:cNvCxnSpPr/>
      </xdr:nvCxnSpPr>
      <xdr:spPr>
        <a:xfrm>
          <a:off x="852237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</xdr:row>
      <xdr:rowOff>0</xdr:rowOff>
    </xdr:from>
    <xdr:to>
      <xdr:col>29</xdr:col>
      <xdr:colOff>632529</xdr:colOff>
      <xdr:row>46</xdr:row>
      <xdr:rowOff>131990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55E5702-973C-4831-A0DF-45F6E5D48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29</xdr:col>
      <xdr:colOff>632529</xdr:colOff>
      <xdr:row>73</xdr:row>
      <xdr:rowOff>131990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8755EFC-F56C-4A67-86CB-E58BF891E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469734</xdr:colOff>
      <xdr:row>17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8DD40B-D060-4BA2-B6C0-227D13953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22734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D0F628C-1EBC-4C91-A5D1-D8ADBDF18B2F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464291</xdr:colOff>
      <xdr:row>17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C27E9E7-F8B0-414D-BD1D-A6D3FA747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7291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6A89226B-9852-480F-8404-B5F50970905D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458848</xdr:colOff>
      <xdr:row>17</xdr:row>
      <xdr:rowOff>38100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D9DADB3-1E38-47D8-934E-F2D90DF8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1848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9B81CD41-5D17-43EF-88F9-ECD0A10E1C64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5</xdr:col>
      <xdr:colOff>475177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B9B8D1-537A-430A-9D67-31076421E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28177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F8A295D-7275-4C39-90BF-D62F9D5F1182}"/>
            </a:ext>
          </a:extLst>
        </xdr:cNvPr>
        <xdr:cNvCxnSpPr/>
      </xdr:nvCxnSpPr>
      <xdr:spPr>
        <a:xfrm>
          <a:off x="852237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23</xdr:row>
      <xdr:rowOff>0</xdr:rowOff>
    </xdr:from>
    <xdr:to>
      <xdr:col>29</xdr:col>
      <xdr:colOff>632529</xdr:colOff>
      <xdr:row>46</xdr:row>
      <xdr:rowOff>131990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59B6CD8-B581-4534-B812-C22F007AC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29</xdr:col>
      <xdr:colOff>632529</xdr:colOff>
      <xdr:row>73</xdr:row>
      <xdr:rowOff>131990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AA1485A-821B-46BF-9CD2-B2A4A132F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469734</xdr:colOff>
      <xdr:row>17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E3AFBB-CA31-4E3E-8826-B141AAE91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22734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744AB81F-5074-4F00-9496-5115EF15DB4D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464291</xdr:colOff>
      <xdr:row>17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E96569E-E610-4875-8688-C77FC00B7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7291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A2B20C5D-AAC5-4410-85F8-C8C1D4A9F9AA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180975</xdr:rowOff>
    </xdr:from>
    <xdr:to>
      <xdr:col>5</xdr:col>
      <xdr:colOff>458848</xdr:colOff>
      <xdr:row>17</xdr:row>
      <xdr:rowOff>38100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34BAA12-14D0-4874-AF54-8E85BE1CB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5411848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90237</xdr:colOff>
      <xdr:row>6</xdr:row>
      <xdr:rowOff>90237</xdr:rowOff>
    </xdr:from>
    <xdr:to>
      <xdr:col>1</xdr:col>
      <xdr:colOff>551447</xdr:colOff>
      <xdr:row>6</xdr:row>
      <xdr:rowOff>90237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74182A30-9799-4C93-9AB2-787A48082DDB}"/>
            </a:ext>
          </a:extLst>
        </xdr:cNvPr>
        <xdr:cNvCxnSpPr/>
      </xdr:nvCxnSpPr>
      <xdr:spPr>
        <a:xfrm>
          <a:off x="1204662" y="1233237"/>
          <a:ext cx="4612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parra\AppData\Local\Microsoft\Windows\INetCache\Content.Outlook\2UA4AOR5\Distribuci&#243;n%20horaria%20CON%20TRASVASE_MAYO%20ajusta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ireccion_Proyectos\027_Internacional\Contratos\Espa&#241;a_Tranv&#237;a%20Palma\entradas\datos%20demanda\Distribuci&#243;n%20horaria%20CON%20TRASVASE_MAYO%20ajust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%Distribucion"/>
      <sheetName val="Ratio conversión AGO-ENE"/>
      <sheetName val="ESC_1A_10"/>
      <sheetName val="ESC_1A_15"/>
      <sheetName val="ESC_1B_10"/>
      <sheetName val="ESC_1B_15"/>
      <sheetName val="ESC_2A_12"/>
      <sheetName val="ESC_2A_15"/>
      <sheetName val="ESC_2B_12"/>
      <sheetName val="ESC_2B_15"/>
      <sheetName val=" ESC_1B_10 MAYO"/>
      <sheetName val="ESC_2B_12 MAYO"/>
      <sheetName val="ESC_1B_10 Agosto"/>
      <sheetName val="ESC_2B_12 Agosto"/>
      <sheetName val="ESC_1B_10 Enero"/>
      <sheetName val="ESC_2B_12 Enero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B5" t="str">
            <v xml:space="preserve">TRV01a_Plaça Espanya </v>
          </cell>
          <cell r="C5">
            <v>3438.7610663228306</v>
          </cell>
          <cell r="D5">
            <v>0</v>
          </cell>
          <cell r="E5">
            <v>3438.7610663228306</v>
          </cell>
          <cell r="S5" t="str">
            <v>TRV16b_Aeroport</v>
          </cell>
          <cell r="T5">
            <v>1436.7323134024155</v>
          </cell>
          <cell r="U5">
            <v>0</v>
          </cell>
          <cell r="V5">
            <v>1436.7323134024155</v>
          </cell>
        </row>
        <row r="6">
          <cell r="B6" t="str">
            <v>TRV02a_Gabriel Alomar-Ctra.Manacor</v>
          </cell>
          <cell r="C6">
            <v>2159.7391952946923</v>
          </cell>
          <cell r="D6">
            <v>35.010758054361823</v>
          </cell>
          <cell r="E6">
            <v>5563.4895035631607</v>
          </cell>
          <cell r="S6" t="str">
            <v>TRV15b_Aeroport-Parquing LE</v>
          </cell>
          <cell r="T6">
            <v>0</v>
          </cell>
          <cell r="U6">
            <v>0</v>
          </cell>
          <cell r="V6">
            <v>1436.7323134024155</v>
          </cell>
        </row>
        <row r="7">
          <cell r="B7" t="str">
            <v>TRV03a_Gabriel Alomar-Perez Galdos</v>
          </cell>
          <cell r="C7">
            <v>1523.7553947856436</v>
          </cell>
          <cell r="D7">
            <v>852.34559131942592</v>
          </cell>
          <cell r="E7">
            <v>6234.8993070293791</v>
          </cell>
          <cell r="S7" t="str">
            <v xml:space="preserve">TRV14b_Gran Via de Can Pastilla </v>
          </cell>
          <cell r="T7">
            <v>675.76969800926508</v>
          </cell>
          <cell r="U7">
            <v>26.820633909715884</v>
          </cell>
          <cell r="V7">
            <v>2085.6813775019646</v>
          </cell>
        </row>
        <row r="8">
          <cell r="B8" t="str">
            <v xml:space="preserve">TRV04a_Manuel Azaña </v>
          </cell>
          <cell r="C8">
            <v>351.54069712499546</v>
          </cell>
          <cell r="D8">
            <v>625.84474069901967</v>
          </cell>
          <cell r="E8">
            <v>5960.5952634553551</v>
          </cell>
          <cell r="S8" t="str">
            <v xml:space="preserve">TRV13b_Can Pastilla-Virgili </v>
          </cell>
          <cell r="T8">
            <v>504.4522340372875</v>
          </cell>
          <cell r="U8">
            <v>57.562923500553147</v>
          </cell>
          <cell r="V8">
            <v>2532.5706880386988</v>
          </cell>
        </row>
        <row r="9">
          <cell r="B9" t="str">
            <v xml:space="preserve">TRV05a_Av.Mèxic </v>
          </cell>
          <cell r="C9">
            <v>90.013276769678583</v>
          </cell>
          <cell r="D9">
            <v>453.63433308226968</v>
          </cell>
          <cell r="E9">
            <v>5596.9742071427645</v>
          </cell>
          <cell r="S9" t="str">
            <v xml:space="preserve">TRV12b_Can Pastilla-Antoni Llobrés i Morey </v>
          </cell>
          <cell r="T9">
            <v>265.19904589461237</v>
          </cell>
          <cell r="U9">
            <v>20.453222596186919</v>
          </cell>
          <cell r="V9">
            <v>2777.3165113371242</v>
          </cell>
        </row>
        <row r="10">
          <cell r="B10" t="str">
            <v xml:space="preserve">TRV06a_Ciutat de la Plata </v>
          </cell>
          <cell r="C10">
            <v>130.98348820326677</v>
          </cell>
          <cell r="D10">
            <v>679.65473350298691</v>
          </cell>
          <cell r="E10">
            <v>5048.3029618430437</v>
          </cell>
          <cell r="S10" t="str">
            <v>TRV11b_Darwin</v>
          </cell>
          <cell r="T10">
            <v>178.20278460567823</v>
          </cell>
          <cell r="U10">
            <v>72.396534400474835</v>
          </cell>
          <cell r="V10">
            <v>2883.1227615423272</v>
          </cell>
        </row>
        <row r="11">
          <cell r="B11" t="str">
            <v xml:space="preserve">TRV07a_Llucmajor (Pavelló Josep Amengual) </v>
          </cell>
          <cell r="C11">
            <v>48.330816000000006</v>
          </cell>
          <cell r="D11">
            <v>342.39633768045104</v>
          </cell>
          <cell r="E11">
            <v>4754.2374401625921</v>
          </cell>
          <cell r="S11" t="str">
            <v xml:space="preserve">TRV10b_Cardenal Rosell-Guasp </v>
          </cell>
          <cell r="T11">
            <v>574.77497019730868</v>
          </cell>
          <cell r="U11">
            <v>69.193905123056467</v>
          </cell>
          <cell r="V11">
            <v>3388.7038266165791</v>
          </cell>
        </row>
        <row r="12">
          <cell r="B12" t="str">
            <v xml:space="preserve">TRV08a_Llucmajor(Repsol-BP) </v>
          </cell>
          <cell r="C12">
            <v>113.13397224975223</v>
          </cell>
          <cell r="D12">
            <v>242.78004442226631</v>
          </cell>
          <cell r="E12">
            <v>4624.5913679900777</v>
          </cell>
          <cell r="S12" t="str">
            <v>TRV09b_Cardenal Rosell-Ciutat Jardí</v>
          </cell>
          <cell r="T12">
            <v>919.03142936579047</v>
          </cell>
          <cell r="U12">
            <v>40.261770602370056</v>
          </cell>
          <cell r="V12">
            <v>4267.4734853799991</v>
          </cell>
        </row>
        <row r="13">
          <cell r="B13" t="str">
            <v>TRV09a_Cardenal Rosell-Ciutat Jardí</v>
          </cell>
          <cell r="C13">
            <v>68.505787970714536</v>
          </cell>
          <cell r="D13">
            <v>1230.6949134267093</v>
          </cell>
          <cell r="E13">
            <v>3462.4022425340831</v>
          </cell>
          <cell r="S13" t="str">
            <v>TRV08b_Llucmajor(Repsol-BP)</v>
          </cell>
          <cell r="T13">
            <v>223.46951238850349</v>
          </cell>
          <cell r="U13">
            <v>84.627582842712897</v>
          </cell>
          <cell r="V13">
            <v>4406.3154149257889</v>
          </cell>
        </row>
        <row r="14">
          <cell r="B14" t="str">
            <v xml:space="preserve">TRV10a_Cardenal Rosell-Guasp </v>
          </cell>
          <cell r="C14">
            <v>104.029931148353</v>
          </cell>
          <cell r="D14">
            <v>633.08078363425898</v>
          </cell>
          <cell r="E14">
            <v>2933.3513900481776</v>
          </cell>
          <cell r="S14" t="str">
            <v>TRV07b_Llucmajor (Pavelló Josep Amengual)</v>
          </cell>
          <cell r="T14">
            <v>277.14502271999999</v>
          </cell>
          <cell r="U14">
            <v>21.317843411410141</v>
          </cell>
          <cell r="V14">
            <v>4662.1425942343794</v>
          </cell>
        </row>
        <row r="15">
          <cell r="B15" t="str">
            <v xml:space="preserve">TRV11a_Darwin </v>
          </cell>
          <cell r="C15">
            <v>59.332974511041016</v>
          </cell>
          <cell r="D15">
            <v>178.10731613152848</v>
          </cell>
          <cell r="E15">
            <v>2814.57704842769</v>
          </cell>
          <cell r="S15" t="str">
            <v>TRV06b_Ciutat de la Plata</v>
          </cell>
          <cell r="T15">
            <v>655.35591046581976</v>
          </cell>
          <cell r="U15">
            <v>103.55683586483252</v>
          </cell>
          <cell r="V15">
            <v>5213.9416688353667</v>
          </cell>
        </row>
        <row r="16">
          <cell r="B16" t="str">
            <v xml:space="preserve">TRV12a_Can Pastilla-Antoni Llobrés i Morey </v>
          </cell>
          <cell r="C16">
            <v>131.61861983593229</v>
          </cell>
          <cell r="D16">
            <v>337.77007634795723</v>
          </cell>
          <cell r="E16">
            <v>2608.4255919156649</v>
          </cell>
          <cell r="S16" t="str">
            <v xml:space="preserve">TRV05b_Av. Mexic </v>
          </cell>
          <cell r="T16">
            <v>537.72252740447141</v>
          </cell>
          <cell r="U16">
            <v>149.42140653606478</v>
          </cell>
          <cell r="V16">
            <v>5602.2427897037733</v>
          </cell>
        </row>
        <row r="17">
          <cell r="B17" t="str">
            <v xml:space="preserve">TRV13a_Can Pastilla-Virgili </v>
          </cell>
          <cell r="C17">
            <v>111.41563067150634</v>
          </cell>
          <cell r="D17">
            <v>791.21944448732495</v>
          </cell>
          <cell r="E17">
            <v>1928.6217780998463</v>
          </cell>
          <cell r="S17" t="str">
            <v xml:space="preserve">TRV04b_Manuel Azaña </v>
          </cell>
          <cell r="T17">
            <v>983.16759350125392</v>
          </cell>
          <cell r="U17">
            <v>346.22586917005026</v>
          </cell>
          <cell r="V17">
            <v>6239.1845140349769</v>
          </cell>
        </row>
        <row r="18">
          <cell r="B18" t="str">
            <v>TRV14a_Gran Via de Can Pastilla</v>
          </cell>
          <cell r="C18">
            <v>39.602228621509958</v>
          </cell>
          <cell r="D18">
            <v>377.12189013772434</v>
          </cell>
          <cell r="E18">
            <v>1591.1021165836319</v>
          </cell>
          <cell r="S18" t="str">
            <v xml:space="preserve">TRV03b_Gabriel Alomar-Perez Galdos </v>
          </cell>
          <cell r="T18">
            <v>595.22185982442727</v>
          </cell>
          <cell r="U18">
            <v>1038.4905105851265</v>
          </cell>
          <cell r="V18">
            <v>5795.9158632742774</v>
          </cell>
        </row>
        <row r="19">
          <cell r="B19" t="str">
            <v xml:space="preserve">TRV15a_Aeroport-Parquing LE </v>
          </cell>
          <cell r="C19">
            <v>0</v>
          </cell>
          <cell r="D19">
            <v>0</v>
          </cell>
          <cell r="E19">
            <v>1591.1021165836319</v>
          </cell>
          <cell r="S19" t="str">
            <v xml:space="preserve">TRV02b_Gabriel Alomar-Ctra.Manacor </v>
          </cell>
          <cell r="T19">
            <v>0</v>
          </cell>
          <cell r="U19">
            <v>2172.2613015420793</v>
          </cell>
          <cell r="V19">
            <v>3623.6545617321981</v>
          </cell>
        </row>
        <row r="20">
          <cell r="B20" t="str">
            <v>TRV16a_Aeroport</v>
          </cell>
          <cell r="C20">
            <v>0</v>
          </cell>
          <cell r="D20">
            <v>1591.102116583633</v>
          </cell>
          <cell r="E20">
            <v>0</v>
          </cell>
          <cell r="S20" t="str">
            <v>TRV01b_Plaça Espanya</v>
          </cell>
          <cell r="T20">
            <v>0</v>
          </cell>
          <cell r="U20">
            <v>3623.6545617321985</v>
          </cell>
          <cell r="V20">
            <v>0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%Distribucion"/>
      <sheetName val="Ratio conversión AGO-ENE"/>
      <sheetName val="ESC_1A_10"/>
      <sheetName val="ESC_1A_15"/>
      <sheetName val="ESC_1B_10"/>
      <sheetName val="ESC_1B_15"/>
      <sheetName val="ESC_2A_12"/>
      <sheetName val="ESC_2A_15"/>
      <sheetName val="ESC_2B_12"/>
      <sheetName val="ESC_2B_15"/>
      <sheetName val=" ESC_1B_10 MAYO"/>
      <sheetName val="ESC_2B_12 MAYO"/>
      <sheetName val="ESC_1B_10 Agosto"/>
      <sheetName val="ESC_2B_12 Agosto"/>
      <sheetName val="ESC_1B_10 Enero"/>
      <sheetName val="ESC_2B_12 Enero"/>
      <sheetName val="resumen"/>
    </sheetNames>
    <sheetDataSet>
      <sheetData sheetId="0">
        <row r="11">
          <cell r="D11">
            <v>6.7298323421698086E-2</v>
          </cell>
        </row>
      </sheetData>
      <sheetData sheetId="1">
        <row r="5">
          <cell r="E5">
            <v>5.0640664034168746E-2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B5" t="str">
            <v xml:space="preserve">TRV01a_Plaça Espanya </v>
          </cell>
          <cell r="C5">
            <v>3714.19</v>
          </cell>
          <cell r="D5">
            <v>0</v>
          </cell>
          <cell r="E5">
            <v>3714.19</v>
          </cell>
          <cell r="S5" t="str">
            <v>TRV16b_Aeroport</v>
          </cell>
          <cell r="T5">
            <v>2867.62</v>
          </cell>
          <cell r="U5">
            <v>0</v>
          </cell>
          <cell r="V5">
            <v>2867.62</v>
          </cell>
        </row>
        <row r="6">
          <cell r="B6" t="str">
            <v>TRV02a_Gabriel Alomar-Ctra.Manacor</v>
          </cell>
          <cell r="C6">
            <v>2397.13</v>
          </cell>
          <cell r="D6">
            <v>31.2485</v>
          </cell>
          <cell r="E6">
            <v>6080.0715</v>
          </cell>
          <cell r="S6" t="str">
            <v>TRV15b_Aeroport-Parquing LE</v>
          </cell>
          <cell r="T6">
            <v>0</v>
          </cell>
          <cell r="U6">
            <v>0</v>
          </cell>
          <cell r="V6">
            <v>2867.62</v>
          </cell>
        </row>
        <row r="7">
          <cell r="B7" t="str">
            <v>TRV03a_Gabriel Alomar-Perez Galdos</v>
          </cell>
          <cell r="C7">
            <v>1639.39</v>
          </cell>
          <cell r="D7">
            <v>786.73199999999997</v>
          </cell>
          <cell r="E7">
            <v>6932.7295000000004</v>
          </cell>
          <cell r="S7" t="str">
            <v xml:space="preserve">TRV14b_Gran Via de Can Pastilla </v>
          </cell>
          <cell r="T7">
            <v>989.70799999999997</v>
          </cell>
          <cell r="U7">
            <v>47</v>
          </cell>
          <cell r="V7">
            <v>3810.328</v>
          </cell>
        </row>
        <row r="8">
          <cell r="B8" t="str">
            <v xml:space="preserve">TRV04a_Manuel Azaña </v>
          </cell>
          <cell r="C8">
            <v>406.38400000000001</v>
          </cell>
          <cell r="D8">
            <v>581.24</v>
          </cell>
          <cell r="E8">
            <v>6757.8735000000006</v>
          </cell>
          <cell r="S8" t="str">
            <v xml:space="preserve">TRV13b_Can Pastilla-Virgili </v>
          </cell>
          <cell r="T8">
            <v>745.81899999999996</v>
          </cell>
          <cell r="U8">
            <v>105</v>
          </cell>
          <cell r="V8">
            <v>4451.1469999999999</v>
          </cell>
        </row>
        <row r="9">
          <cell r="B9" t="str">
            <v xml:space="preserve">TRV05a_Av.Mèxic </v>
          </cell>
          <cell r="C9">
            <v>111.54600000000001</v>
          </cell>
          <cell r="D9">
            <v>454.73099999999999</v>
          </cell>
          <cell r="E9">
            <v>6414.6885000000011</v>
          </cell>
          <cell r="S9" t="str">
            <v xml:space="preserve">TRV12b_Can Pastilla-Antoni Llobrés i Morey </v>
          </cell>
          <cell r="T9">
            <v>356.87799999999999</v>
          </cell>
          <cell r="U9">
            <v>34</v>
          </cell>
          <cell r="V9">
            <v>4774.0249999999996</v>
          </cell>
        </row>
        <row r="10">
          <cell r="B10" t="str">
            <v xml:space="preserve">TRV06a_Ciutat de la Plata </v>
          </cell>
          <cell r="C10">
            <v>134.20394999999999</v>
          </cell>
          <cell r="D10">
            <v>526.16200000000003</v>
          </cell>
          <cell r="E10">
            <v>6022.7304500000009</v>
          </cell>
          <cell r="S10" t="str">
            <v>TRV11b_Darwin</v>
          </cell>
          <cell r="T10">
            <v>208.482</v>
          </cell>
          <cell r="U10">
            <v>99.985500000000002</v>
          </cell>
          <cell r="V10">
            <v>4882.5214999999998</v>
          </cell>
        </row>
        <row r="11">
          <cell r="B11" t="str">
            <v xml:space="preserve">TRV07a_Llucmajor (Pavelló Josep Amengual) </v>
          </cell>
          <cell r="C11">
            <v>59.650000000000006</v>
          </cell>
          <cell r="D11">
            <v>372.37</v>
          </cell>
          <cell r="E11">
            <v>5710.0104500000007</v>
          </cell>
          <cell r="S11" t="str">
            <v xml:space="preserve">TRV10b_Cardenal Rosell-Guasp </v>
          </cell>
          <cell r="T11">
            <v>679.50900000000001</v>
          </cell>
          <cell r="U11">
            <v>98.009900000000002</v>
          </cell>
          <cell r="V11">
            <v>5464.0205999999998</v>
          </cell>
        </row>
        <row r="12">
          <cell r="B12" t="str">
            <v xml:space="preserve">TRV08a_Llucmajor(Repsol-BP) </v>
          </cell>
          <cell r="C12">
            <v>146.91399999999999</v>
          </cell>
          <cell r="D12">
            <v>267.745</v>
          </cell>
          <cell r="E12">
            <v>5589.1794500000005</v>
          </cell>
          <cell r="S12" t="str">
            <v>TRV09b_Cardenal Rosell-Ciutat Jardí</v>
          </cell>
          <cell r="T12">
            <v>1049.9000000000001</v>
          </cell>
          <cell r="U12">
            <v>56.153700000000001</v>
          </cell>
          <cell r="V12">
            <v>6457.7668999999996</v>
          </cell>
        </row>
        <row r="13">
          <cell r="B13" t="str">
            <v>TRV09a_Cardenal Rosell-Ciutat Jardí</v>
          </cell>
          <cell r="C13">
            <v>78.260900000000007</v>
          </cell>
          <cell r="D13">
            <v>1130.53</v>
          </cell>
          <cell r="E13">
            <v>4536.910350000001</v>
          </cell>
          <cell r="S13" t="str">
            <v>TRV08b_Llucmajor(Repsol-BP)</v>
          </cell>
          <cell r="T13">
            <v>290.19400000000002</v>
          </cell>
          <cell r="U13">
            <v>141.70140000000001</v>
          </cell>
          <cell r="V13">
            <v>6606.2595000000001</v>
          </cell>
        </row>
        <row r="14">
          <cell r="B14" t="str">
            <v xml:space="preserve">TRV10a_Cardenal Rosell-Guasp </v>
          </cell>
          <cell r="C14">
            <v>122.986</v>
          </cell>
          <cell r="D14">
            <v>590.61900000000003</v>
          </cell>
          <cell r="E14">
            <v>4069.2773500000008</v>
          </cell>
          <cell r="S14" t="str">
            <v>TRV07b_Llucmajor (Pavelló Josep Amengual)</v>
          </cell>
          <cell r="T14">
            <v>342.053</v>
          </cell>
          <cell r="U14">
            <v>35.200000000000003</v>
          </cell>
          <cell r="V14">
            <v>6913.1125000000002</v>
          </cell>
        </row>
        <row r="15">
          <cell r="B15" t="str">
            <v xml:space="preserve">TRV11a_Darwin </v>
          </cell>
          <cell r="C15">
            <v>69.414500000000004</v>
          </cell>
          <cell r="D15">
            <v>162.012</v>
          </cell>
          <cell r="E15">
            <v>3976.6798500000009</v>
          </cell>
          <cell r="S15" t="str">
            <v>TRV06b_Ciutat de la Plata</v>
          </cell>
          <cell r="T15">
            <v>671.46900000000005</v>
          </cell>
          <cell r="U15">
            <v>121.7205</v>
          </cell>
          <cell r="V15">
            <v>7462.8609999999999</v>
          </cell>
        </row>
        <row r="16">
          <cell r="B16" t="str">
            <v xml:space="preserve">TRV12a_Can Pastilla-Antoni Llobrés i Morey </v>
          </cell>
          <cell r="C16">
            <v>177.119</v>
          </cell>
          <cell r="D16">
            <v>369.815</v>
          </cell>
          <cell r="E16">
            <v>3783.983850000001</v>
          </cell>
          <cell r="S16" t="str">
            <v xml:space="preserve">TRV05b_Av. Mexic </v>
          </cell>
          <cell r="T16">
            <v>666.35500000000002</v>
          </cell>
          <cell r="U16">
            <v>227.41300000000001</v>
          </cell>
          <cell r="V16">
            <v>7901.8029999999999</v>
          </cell>
        </row>
        <row r="17">
          <cell r="B17" t="str">
            <v xml:space="preserve">TRV13a_Can Pastilla-Virgili </v>
          </cell>
          <cell r="C17">
            <v>164.72499999999999</v>
          </cell>
          <cell r="D17">
            <v>950.58199999999999</v>
          </cell>
          <cell r="E17">
            <v>2998.126850000001</v>
          </cell>
          <cell r="S17" t="str">
            <v xml:space="preserve">TRV04b_Manuel Azaña </v>
          </cell>
          <cell r="T17">
            <v>1136.55</v>
          </cell>
          <cell r="U17">
            <v>488.20499999999998</v>
          </cell>
          <cell r="V17">
            <v>8550.1479999999992</v>
          </cell>
        </row>
        <row r="18">
          <cell r="B18" t="str">
            <v>TRV14a_Gran Via de Can Pastilla</v>
          </cell>
          <cell r="C18">
            <v>58</v>
          </cell>
          <cell r="D18">
            <v>435.26799999999997</v>
          </cell>
          <cell r="E18">
            <v>2620.858850000001</v>
          </cell>
          <cell r="S18" t="str">
            <v xml:space="preserve">TRV03b_Gabriel Alomar-Perez Galdos </v>
          </cell>
          <cell r="T18">
            <v>640.39200000000005</v>
          </cell>
          <cell r="U18">
            <v>1455.35</v>
          </cell>
          <cell r="V18">
            <v>7735.1899999999987</v>
          </cell>
        </row>
        <row r="19">
          <cell r="B19" t="str">
            <v xml:space="preserve">TRV15a_Aeroport-Parquing LE </v>
          </cell>
          <cell r="C19">
            <v>0</v>
          </cell>
          <cell r="D19">
            <v>0</v>
          </cell>
          <cell r="E19">
            <v>2620.858850000001</v>
          </cell>
          <cell r="S19" t="str">
            <v xml:space="preserve">TRV02b_Gabriel Alomar-Ctra.Manacor </v>
          </cell>
          <cell r="T19">
            <v>0</v>
          </cell>
          <cell r="U19">
            <v>2943.7</v>
          </cell>
          <cell r="V19">
            <v>4791.4899999999989</v>
          </cell>
        </row>
        <row r="20">
          <cell r="B20" t="str">
            <v>TRV16a_Aeroport</v>
          </cell>
          <cell r="C20">
            <v>0</v>
          </cell>
          <cell r="D20">
            <v>2620.8200000000002</v>
          </cell>
          <cell r="E20">
            <v>3.8850000000820728E-2</v>
          </cell>
          <cell r="S20" t="str">
            <v>TRV01b_Plaça Espanya</v>
          </cell>
          <cell r="T20">
            <v>0</v>
          </cell>
          <cell r="U20">
            <v>4791.42</v>
          </cell>
          <cell r="V20">
            <v>6.9999999998799467E-2</v>
          </cell>
        </row>
      </sheetData>
      <sheetData sheetId="11">
        <row r="4">
          <cell r="C4" t="str">
            <v>Subidas</v>
          </cell>
        </row>
      </sheetData>
      <sheetData sheetId="12">
        <row r="4">
          <cell r="C4" t="str">
            <v>Subidas</v>
          </cell>
          <cell r="D4" t="str">
            <v>Bajadas</v>
          </cell>
          <cell r="E4" t="str">
            <v>Carga TP después de la Parada</v>
          </cell>
          <cell r="T4" t="str">
            <v>Subidas</v>
          </cell>
          <cell r="U4" t="str">
            <v>Bajadas</v>
          </cell>
          <cell r="V4" t="str">
            <v>Carga TP después de la Parada</v>
          </cell>
        </row>
        <row r="5">
          <cell r="B5" t="str">
            <v xml:space="preserve">TRV01a_Plaça Espanya </v>
          </cell>
          <cell r="C5">
            <v>3902.2790479490695</v>
          </cell>
          <cell r="D5">
            <v>0</v>
          </cell>
          <cell r="E5">
            <v>3902.2790479490695</v>
          </cell>
          <cell r="S5" t="str">
            <v>TRV16b_Aeroport</v>
          </cell>
          <cell r="T5">
            <v>3372.4111887751815</v>
          </cell>
          <cell r="U5">
            <v>0</v>
          </cell>
          <cell r="V5">
            <v>3372.4111887751815</v>
          </cell>
        </row>
        <row r="6">
          <cell r="B6" t="str">
            <v>TRV02a_Gabriel Alomar-Ctra.Manacor</v>
          </cell>
          <cell r="C6">
            <v>2531.4205374199505</v>
          </cell>
          <cell r="D6">
            <v>31.788148225017711</v>
          </cell>
          <cell r="E6">
            <v>6401.9114371440028</v>
          </cell>
          <cell r="S6" t="str">
            <v>TRV15b_Aeroport-Parquing LE</v>
          </cell>
          <cell r="T6">
            <v>0</v>
          </cell>
          <cell r="U6">
            <v>0</v>
          </cell>
          <cell r="V6">
            <v>3372.4111887751815</v>
          </cell>
        </row>
        <row r="7">
          <cell r="B7" t="str">
            <v>TRV03a_Gabriel Alomar-Perez Galdos</v>
          </cell>
          <cell r="C7">
            <v>1623.7170554493309</v>
          </cell>
          <cell r="D7">
            <v>766.23633643809239</v>
          </cell>
          <cell r="E7">
            <v>7259.3921561552415</v>
          </cell>
          <cell r="S7" t="str">
            <v xml:space="preserve">TRV14b_Gran Via de Can Pastilla </v>
          </cell>
          <cell r="T7">
            <v>1082.582188806811</v>
          </cell>
          <cell r="U7">
            <v>52.618732366011201</v>
          </cell>
          <cell r="V7">
            <v>4402.3746452159812</v>
          </cell>
        </row>
        <row r="8">
          <cell r="B8" t="str">
            <v xml:space="preserve">TRV04a_Manuel Azaña </v>
          </cell>
          <cell r="C8">
            <v>411.6718810744012</v>
          </cell>
          <cell r="D8">
            <v>562.59839378475579</v>
          </cell>
          <cell r="E8">
            <v>7108.4656434448871</v>
          </cell>
          <cell r="S8" t="str">
            <v xml:space="preserve">TRV13b_Can Pastilla-Virgili </v>
          </cell>
          <cell r="T8">
            <v>783.34990166639159</v>
          </cell>
          <cell r="U8">
            <v>113.46845726239658</v>
          </cell>
          <cell r="V8">
            <v>5072.2560896199766</v>
          </cell>
        </row>
        <row r="9">
          <cell r="B9" t="str">
            <v xml:space="preserve">TRV05a_Av.Mèxic </v>
          </cell>
          <cell r="C9">
            <v>114.08129336718896</v>
          </cell>
          <cell r="D9">
            <v>441.17427641709253</v>
          </cell>
          <cell r="E9">
            <v>6781.3726603949835</v>
          </cell>
          <cell r="S9" t="str">
            <v xml:space="preserve">TRV12b_Can Pastilla-Antoni Llobrés i Morey </v>
          </cell>
          <cell r="T9">
            <v>350.89091064961934</v>
          </cell>
          <cell r="U9">
            <v>34.769586970343894</v>
          </cell>
          <cell r="V9">
            <v>5388.3774132992521</v>
          </cell>
        </row>
        <row r="10">
          <cell r="B10" t="str">
            <v xml:space="preserve">TRV06a_Ciutat de la Plata </v>
          </cell>
          <cell r="C10">
            <v>184.26995272232301</v>
          </cell>
          <cell r="D10">
            <v>707.83429941534951</v>
          </cell>
          <cell r="E10">
            <v>6257.8083137019566</v>
          </cell>
          <cell r="S10" t="str">
            <v>TRV11b_Darwin</v>
          </cell>
          <cell r="T10">
            <v>156.7100661198738</v>
          </cell>
          <cell r="U10">
            <v>74.315049735633707</v>
          </cell>
          <cell r="V10">
            <v>5470.7724296834922</v>
          </cell>
        </row>
        <row r="11">
          <cell r="B11" t="str">
            <v xml:space="preserve">TRV07a_Llucmajor (Pavelló Josep Amengual) </v>
          </cell>
          <cell r="C11">
            <v>66.139920000000004</v>
          </cell>
          <cell r="D11">
            <v>395.62413498382904</v>
          </cell>
          <cell r="E11">
            <v>5928.3240987181271</v>
          </cell>
          <cell r="S11" t="str">
            <v xml:space="preserve">TRV10b_Cardenal Rosell-Guasp </v>
          </cell>
          <cell r="T11">
            <v>527.70916890943613</v>
          </cell>
          <cell r="U11">
            <v>76.069410366363087</v>
          </cell>
          <cell r="V11">
            <v>5922.4121882265654</v>
          </cell>
        </row>
        <row r="12">
          <cell r="B12" t="str">
            <v xml:space="preserve">TRV08a_Llucmajor(Repsol-BP) </v>
          </cell>
          <cell r="C12">
            <v>141.81787512388502</v>
          </cell>
          <cell r="D12">
            <v>251.82658125449493</v>
          </cell>
          <cell r="E12">
            <v>5818.3153925875167</v>
          </cell>
          <cell r="S12" t="str">
            <v>TRV09b_Cardenal Rosell-Ciutat Jardí</v>
          </cell>
          <cell r="T12">
            <v>793.77382842667828</v>
          </cell>
          <cell r="U12">
            <v>43.675161697024805</v>
          </cell>
          <cell r="V12">
            <v>6672.5108549562183</v>
          </cell>
        </row>
        <row r="13">
          <cell r="B13" t="str">
            <v>TRV09a_Cardenal Rosell-Ciutat Jardí</v>
          </cell>
          <cell r="C13">
            <v>59.168924858669804</v>
          </cell>
          <cell r="D13">
            <v>836.95404766699767</v>
          </cell>
          <cell r="E13">
            <v>5040.5302697791885</v>
          </cell>
          <cell r="S13" t="str">
            <v>TRV08b_Llucmajor(Repsol-BP)</v>
          </cell>
          <cell r="T13">
            <v>280.12780574826564</v>
          </cell>
          <cell r="U13">
            <v>140.02028676144698</v>
          </cell>
          <cell r="V13">
            <v>6812.6183739430371</v>
          </cell>
        </row>
        <row r="14">
          <cell r="B14" t="str">
            <v xml:space="preserve">TRV10a_Cardenal Rosell-Guasp </v>
          </cell>
          <cell r="C14">
            <v>95.511376372492364</v>
          </cell>
          <cell r="D14">
            <v>436.32580277651033</v>
          </cell>
          <cell r="E14">
            <v>4699.7158433751702</v>
          </cell>
          <cell r="S14" t="str">
            <v>TRV07b_Llucmajor (Pavelló Josep Amengual)</v>
          </cell>
          <cell r="T14">
            <v>379.26836639999999</v>
          </cell>
          <cell r="U14">
            <v>39.290483928434071</v>
          </cell>
          <cell r="V14">
            <v>7152.596256414603</v>
          </cell>
        </row>
        <row r="15">
          <cell r="B15" t="str">
            <v xml:space="preserve">TRV11a_Darwin </v>
          </cell>
          <cell r="C15">
            <v>52.176930788643531</v>
          </cell>
          <cell r="D15">
            <v>114.61733648191208</v>
          </cell>
          <cell r="E15">
            <v>4637.2754376819012</v>
          </cell>
          <cell r="S15" t="str">
            <v>TRV06b_Ciutat de la Plata</v>
          </cell>
          <cell r="T15">
            <v>921.96661040532365</v>
          </cell>
          <cell r="U15">
            <v>172.03328121444488</v>
          </cell>
          <cell r="V15">
            <v>7902.5295856054818</v>
          </cell>
        </row>
        <row r="16">
          <cell r="B16" t="str">
            <v xml:space="preserve">TRV12a_Can Pastilla-Antoni Llobrés i Morey </v>
          </cell>
          <cell r="C16">
            <v>174.14760002956174</v>
          </cell>
          <cell r="D16">
            <v>359.97182990277429</v>
          </cell>
          <cell r="E16">
            <v>4451.4512078086882</v>
          </cell>
          <cell r="S16" t="str">
            <v xml:space="preserve">TRV05b_Av. Mexic </v>
          </cell>
          <cell r="T16">
            <v>681.50036972812291</v>
          </cell>
          <cell r="U16">
            <v>231.79684947451884</v>
          </cell>
          <cell r="V16">
            <v>8352.2331058590862</v>
          </cell>
        </row>
        <row r="17">
          <cell r="B17" t="str">
            <v xml:space="preserve">TRV13a_Can Pastilla-Virgili </v>
          </cell>
          <cell r="C17">
            <v>173.01424682395643</v>
          </cell>
          <cell r="D17">
            <v>977.77474580729267</v>
          </cell>
          <cell r="E17">
            <v>3646.690708825352</v>
          </cell>
          <cell r="S17" t="str">
            <v xml:space="preserve">TRV04b_Manuel Azaña </v>
          </cell>
          <cell r="T17">
            <v>1151.3388234652709</v>
          </cell>
          <cell r="U17">
            <v>496.45722818915146</v>
          </cell>
          <cell r="V17">
            <v>9007.1147011352041</v>
          </cell>
        </row>
        <row r="18">
          <cell r="B18" t="str">
            <v>TRV14a_Gran Via de Can Pastilla</v>
          </cell>
          <cell r="C18">
            <v>63.442719419055962</v>
          </cell>
          <cell r="D18">
            <v>463.83406591312865</v>
          </cell>
          <cell r="E18">
            <v>3246.2993623312796</v>
          </cell>
          <cell r="S18" t="str">
            <v xml:space="preserve">TRV03b_Gabriel Alomar-Perez Galdos </v>
          </cell>
          <cell r="T18">
            <v>634.26970554493312</v>
          </cell>
          <cell r="U18">
            <v>1489.1553276824329</v>
          </cell>
          <cell r="V18">
            <v>8152.2290789977051</v>
          </cell>
        </row>
        <row r="19">
          <cell r="B19" t="str">
            <v xml:space="preserve">TRV15a_Aeroport-Parquing LE </v>
          </cell>
          <cell r="C19">
            <v>0</v>
          </cell>
          <cell r="D19">
            <v>0</v>
          </cell>
          <cell r="E19">
            <v>3246.2993623312796</v>
          </cell>
          <cell r="S19" t="str">
            <v xml:space="preserve">TRV02b_Gabriel Alomar-Ctra.Manacor </v>
          </cell>
          <cell r="T19">
            <v>0</v>
          </cell>
          <cell r="U19">
            <v>3146.0543687834506</v>
          </cell>
          <cell r="V19">
            <v>5006.1747102142544</v>
          </cell>
        </row>
        <row r="20">
          <cell r="B20" t="str">
            <v>TRV16a_Aeroport</v>
          </cell>
          <cell r="C20">
            <v>0</v>
          </cell>
          <cell r="D20">
            <v>3246.2993623312836</v>
          </cell>
          <cell r="E20">
            <v>-4.0927261579781771E-12</v>
          </cell>
          <cell r="S20" t="str">
            <v>TRV01b_Plaça Espanya</v>
          </cell>
          <cell r="T20">
            <v>0</v>
          </cell>
          <cell r="U20">
            <v>5006.1747102142554</v>
          </cell>
          <cell r="V20">
            <v>0</v>
          </cell>
        </row>
      </sheetData>
      <sheetData sheetId="13">
        <row r="4">
          <cell r="C4" t="str">
            <v>Subidas</v>
          </cell>
        </row>
      </sheetData>
      <sheetData sheetId="14"/>
      <sheetData sheetId="15">
        <row r="4">
          <cell r="C4" t="str">
            <v>Subidas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E5F7-1854-4A49-8E32-7B69A129599D}">
  <dimension ref="B2:AG82"/>
  <sheetViews>
    <sheetView zoomScale="70" zoomScaleNormal="70" workbookViewId="0">
      <selection activeCell="S24" sqref="S24:S79"/>
    </sheetView>
  </sheetViews>
  <sheetFormatPr baseColWidth="10" defaultRowHeight="15.75"/>
  <cols>
    <col min="2" max="2" width="21.85546875" style="2" customWidth="1"/>
    <col min="3" max="4" width="11.42578125" style="2"/>
    <col min="5" max="5" width="12.7109375" style="2" bestFit="1" customWidth="1"/>
    <col min="6" max="16" width="11.42578125" style="2"/>
    <col min="19" max="19" width="21.85546875" customWidth="1"/>
  </cols>
  <sheetData>
    <row r="2" spans="2:33" ht="19.5">
      <c r="B2" s="95" t="s">
        <v>141</v>
      </c>
      <c r="C2" s="95"/>
      <c r="D2" s="95"/>
      <c r="E2" s="95"/>
      <c r="F2" s="1"/>
      <c r="G2" s="1"/>
      <c r="H2" s="1"/>
      <c r="I2" s="1"/>
      <c r="S2" s="95" t="s">
        <v>142</v>
      </c>
      <c r="T2" s="95"/>
      <c r="U2" s="95"/>
      <c r="V2" s="95"/>
      <c r="W2" s="1"/>
      <c r="X2" s="1"/>
      <c r="Y2" s="1"/>
      <c r="Z2" s="1"/>
      <c r="AA2" s="2"/>
      <c r="AB2" s="2"/>
      <c r="AC2" s="2"/>
      <c r="AD2" s="2"/>
      <c r="AE2" s="2"/>
      <c r="AF2" s="2"/>
      <c r="AG2" s="2"/>
    </row>
    <row r="3" spans="2:33">
      <c r="B3" s="96" t="s">
        <v>0</v>
      </c>
      <c r="C3" s="97" t="s">
        <v>1</v>
      </c>
      <c r="D3" s="97"/>
      <c r="E3" s="97"/>
      <c r="F3" s="3"/>
      <c r="G3" s="98"/>
      <c r="H3" s="98"/>
      <c r="I3" s="98"/>
      <c r="S3" s="96" t="s">
        <v>0</v>
      </c>
      <c r="T3" s="97" t="s">
        <v>1</v>
      </c>
      <c r="U3" s="97"/>
      <c r="V3" s="97"/>
      <c r="W3" s="2"/>
      <c r="X3" s="89"/>
      <c r="Y3" s="89"/>
      <c r="Z3" s="89"/>
      <c r="AA3" s="2"/>
      <c r="AB3" s="2"/>
      <c r="AC3" s="2"/>
      <c r="AD3" s="2"/>
      <c r="AE3" s="2"/>
      <c r="AF3" s="2"/>
      <c r="AG3" s="2"/>
    </row>
    <row r="4" spans="2:33" ht="63">
      <c r="B4" s="96"/>
      <c r="C4" s="4" t="s">
        <v>2</v>
      </c>
      <c r="D4" s="4" t="s">
        <v>3</v>
      </c>
      <c r="E4" s="4" t="s">
        <v>4</v>
      </c>
      <c r="F4" s="5" t="s">
        <v>5</v>
      </c>
      <c r="G4" s="6" t="s">
        <v>6</v>
      </c>
      <c r="I4" s="6"/>
      <c r="S4" s="96"/>
      <c r="T4" s="4" t="s">
        <v>2</v>
      </c>
      <c r="U4" s="4" t="s">
        <v>3</v>
      </c>
      <c r="V4" s="4" t="s">
        <v>4</v>
      </c>
      <c r="W4" s="5" t="s">
        <v>5</v>
      </c>
      <c r="X4" s="6" t="s">
        <v>6</v>
      </c>
      <c r="Y4" s="7"/>
      <c r="Z4" s="7"/>
      <c r="AA4" s="2"/>
      <c r="AB4" s="2"/>
      <c r="AC4" s="2"/>
      <c r="AD4" s="2"/>
      <c r="AE4" s="2"/>
      <c r="AF4" s="2"/>
      <c r="AG4" s="2"/>
    </row>
    <row r="5" spans="2:33">
      <c r="B5" s="80">
        <v>1</v>
      </c>
      <c r="C5" s="8">
        <v>3438.7610663228306</v>
      </c>
      <c r="D5" s="8">
        <v>0</v>
      </c>
      <c r="E5" s="8">
        <v>3438.7610663228306</v>
      </c>
      <c r="F5" s="2">
        <v>0</v>
      </c>
      <c r="G5" s="9">
        <v>0</v>
      </c>
      <c r="I5" s="9"/>
      <c r="S5" s="80">
        <v>16</v>
      </c>
      <c r="T5" s="8">
        <v>1436.7323134024155</v>
      </c>
      <c r="U5" s="8">
        <v>0</v>
      </c>
      <c r="V5" s="8">
        <v>1436.7323134024155</v>
      </c>
      <c r="W5" s="2">
        <v>0</v>
      </c>
      <c r="X5" s="9">
        <v>0</v>
      </c>
      <c r="Y5" s="9"/>
      <c r="Z5" s="9"/>
      <c r="AA5" s="2"/>
      <c r="AB5" s="2"/>
      <c r="AC5" s="2"/>
      <c r="AD5" s="2"/>
      <c r="AE5" s="2"/>
      <c r="AF5" s="2"/>
      <c r="AG5" s="2"/>
    </row>
    <row r="6" spans="2:33">
      <c r="B6" s="80">
        <v>2</v>
      </c>
      <c r="C6" s="8">
        <v>2159.7391952946923</v>
      </c>
      <c r="D6" s="8">
        <v>35.010758054361823</v>
      </c>
      <c r="E6" s="8">
        <v>5563.4895035631607</v>
      </c>
      <c r="F6" s="2">
        <v>4.1825049546631767E-3</v>
      </c>
      <c r="G6" s="9">
        <v>28.108630808843724</v>
      </c>
      <c r="I6" s="9"/>
      <c r="S6" s="80">
        <v>15</v>
      </c>
      <c r="T6" s="8">
        <v>0</v>
      </c>
      <c r="U6" s="8">
        <v>0</v>
      </c>
      <c r="V6" s="8">
        <v>1436.7323134024155</v>
      </c>
      <c r="W6" s="2">
        <v>0</v>
      </c>
      <c r="X6" s="9">
        <v>0</v>
      </c>
      <c r="Y6" s="9"/>
      <c r="Z6" s="9"/>
      <c r="AA6" s="2"/>
      <c r="AB6" s="2"/>
      <c r="AC6" s="2"/>
      <c r="AD6" s="2"/>
      <c r="AE6" s="2"/>
      <c r="AF6" s="2"/>
      <c r="AG6" s="2"/>
    </row>
    <row r="7" spans="2:33">
      <c r="B7" s="80">
        <v>3</v>
      </c>
      <c r="C7" s="8">
        <v>1523.7553947856436</v>
      </c>
      <c r="D7" s="8">
        <v>852.34559131942592</v>
      </c>
      <c r="E7" s="8">
        <v>6234.8993070293791</v>
      </c>
      <c r="F7" s="2">
        <v>0.10182412083861393</v>
      </c>
      <c r="G7" s="9">
        <v>684.31159104704091</v>
      </c>
      <c r="I7" s="9"/>
      <c r="S7" s="80">
        <v>14</v>
      </c>
      <c r="T7" s="8">
        <v>675.76969800926508</v>
      </c>
      <c r="U7" s="8">
        <v>26.820633909715884</v>
      </c>
      <c r="V7" s="8">
        <v>2085.6813775019646</v>
      </c>
      <c r="W7" s="2">
        <v>3.4270118359686873E-3</v>
      </c>
      <c r="X7" s="9">
        <v>32.693471437539237</v>
      </c>
      <c r="Y7" s="9"/>
      <c r="Z7" s="9"/>
      <c r="AA7" s="2"/>
      <c r="AB7" s="2"/>
      <c r="AC7" s="2"/>
      <c r="AD7" s="2"/>
      <c r="AE7" s="2"/>
      <c r="AF7" s="2"/>
      <c r="AG7" s="2"/>
    </row>
    <row r="8" spans="2:33">
      <c r="B8" s="80">
        <v>4</v>
      </c>
      <c r="C8" s="8">
        <v>351.54069712499546</v>
      </c>
      <c r="D8" s="8">
        <v>625.84474069901967</v>
      </c>
      <c r="E8" s="8">
        <v>5960.5952634553551</v>
      </c>
      <c r="F8" s="2">
        <v>7.4765554197916792E-2</v>
      </c>
      <c r="G8" s="9">
        <v>502.46380648629281</v>
      </c>
      <c r="I8" s="9"/>
      <c r="S8" s="80">
        <v>13</v>
      </c>
      <c r="T8" s="8">
        <v>504.4522340372875</v>
      </c>
      <c r="U8" s="8">
        <v>57.562923500553147</v>
      </c>
      <c r="V8" s="8">
        <v>2532.5706880386988</v>
      </c>
      <c r="W8" s="2">
        <v>7.3551140071262192E-3</v>
      </c>
      <c r="X8" s="9">
        <v>70.167312288799152</v>
      </c>
      <c r="Y8" s="9"/>
      <c r="Z8" s="9"/>
      <c r="AA8" s="2"/>
      <c r="AB8" s="2"/>
      <c r="AC8" s="2"/>
      <c r="AD8" s="2"/>
      <c r="AE8" s="2"/>
      <c r="AF8" s="2"/>
      <c r="AG8" s="2"/>
    </row>
    <row r="9" spans="2:33">
      <c r="B9" s="80">
        <v>5</v>
      </c>
      <c r="C9" s="8">
        <v>90.013276769678583</v>
      </c>
      <c r="D9" s="8">
        <v>453.63433308226968</v>
      </c>
      <c r="E9" s="8">
        <v>5596.9742071427645</v>
      </c>
      <c r="F9" s="2">
        <v>5.4192709645872403E-2</v>
      </c>
      <c r="G9" s="9">
        <v>364.20348199907005</v>
      </c>
      <c r="I9" s="9"/>
      <c r="S9" s="80">
        <v>12</v>
      </c>
      <c r="T9" s="8">
        <v>265.19904589461237</v>
      </c>
      <c r="U9" s="8">
        <v>20.453222596186919</v>
      </c>
      <c r="V9" s="8">
        <v>2777.3165113371242</v>
      </c>
      <c r="W9" s="2">
        <v>2.6134145880662108E-3</v>
      </c>
      <c r="X9" s="9">
        <v>24.931806272924618</v>
      </c>
      <c r="Y9" s="9"/>
      <c r="Z9" s="9"/>
      <c r="AA9" s="2"/>
      <c r="AB9" s="2"/>
      <c r="AC9" s="2"/>
      <c r="AD9" s="2"/>
      <c r="AE9" s="2"/>
      <c r="AF9" s="2"/>
      <c r="AG9" s="2"/>
    </row>
    <row r="10" spans="2:33">
      <c r="B10" s="80">
        <v>6</v>
      </c>
      <c r="C10" s="8">
        <v>130.98348820326677</v>
      </c>
      <c r="D10" s="8">
        <v>679.65473350298691</v>
      </c>
      <c r="E10" s="8">
        <v>5048.3029618430437</v>
      </c>
      <c r="F10" s="2">
        <v>8.1193880061742066E-2</v>
      </c>
      <c r="G10" s="9">
        <v>545.66553377265234</v>
      </c>
      <c r="I10" s="9"/>
      <c r="S10" s="80">
        <v>11</v>
      </c>
      <c r="T10" s="8">
        <v>178.20278460567823</v>
      </c>
      <c r="U10" s="8">
        <v>72.396534400474835</v>
      </c>
      <c r="V10" s="8">
        <v>2883.1227615423272</v>
      </c>
      <c r="W10" s="2">
        <v>9.2504815922216099E-3</v>
      </c>
      <c r="X10" s="9">
        <v>88.248996558628463</v>
      </c>
      <c r="Y10" s="9"/>
      <c r="Z10" s="9"/>
      <c r="AA10" s="2"/>
      <c r="AB10" s="2"/>
      <c r="AC10" s="2"/>
      <c r="AD10" s="2"/>
      <c r="AE10" s="2"/>
      <c r="AF10" s="2"/>
      <c r="AG10" s="2"/>
    </row>
    <row r="11" spans="2:33">
      <c r="B11" s="80">
        <v>7</v>
      </c>
      <c r="C11" s="8">
        <v>48.330816000000006</v>
      </c>
      <c r="D11" s="8">
        <v>342.39633768045104</v>
      </c>
      <c r="E11" s="8">
        <v>4754.2374401625921</v>
      </c>
      <c r="F11" s="2">
        <v>4.0903838088378594E-2</v>
      </c>
      <c r="G11" s="9">
        <v>274.89528307888042</v>
      </c>
      <c r="I11" s="9"/>
      <c r="S11" s="80">
        <v>10</v>
      </c>
      <c r="T11" s="8">
        <v>574.77497019730868</v>
      </c>
      <c r="U11" s="8">
        <v>69.193905123056467</v>
      </c>
      <c r="V11" s="8">
        <v>3388.7038266165791</v>
      </c>
      <c r="W11" s="2">
        <v>8.8412649988749217E-3</v>
      </c>
      <c r="X11" s="9">
        <v>84.345096704554749</v>
      </c>
      <c r="Y11" s="9"/>
      <c r="Z11" s="9"/>
      <c r="AA11" s="2"/>
      <c r="AB11" s="2"/>
      <c r="AC11" s="2"/>
      <c r="AD11" s="2"/>
      <c r="AE11" s="2"/>
      <c r="AF11" s="2"/>
      <c r="AG11" s="2"/>
    </row>
    <row r="12" spans="2:33">
      <c r="B12" s="80">
        <v>8</v>
      </c>
      <c r="C12" s="8">
        <v>113.13397224975223</v>
      </c>
      <c r="D12" s="8">
        <v>242.78004442226631</v>
      </c>
      <c r="E12" s="8">
        <v>4624.5913679900777</v>
      </c>
      <c r="F12" s="2">
        <v>2.9003334835332642E-2</v>
      </c>
      <c r="G12" s="9">
        <v>194.91764862172036</v>
      </c>
      <c r="I12" s="9"/>
      <c r="S12" s="80">
        <v>9</v>
      </c>
      <c r="T12" s="8">
        <v>919.03142936579047</v>
      </c>
      <c r="U12" s="8">
        <v>40.261770602370056</v>
      </c>
      <c r="V12" s="8">
        <v>4267.4734853799991</v>
      </c>
      <c r="W12" s="2">
        <v>5.1444557520840479E-3</v>
      </c>
      <c r="X12" s="9">
        <v>49.077775403977626</v>
      </c>
      <c r="Y12" s="9"/>
      <c r="Z12" s="9"/>
      <c r="AA12" s="2"/>
      <c r="AB12" s="2"/>
      <c r="AC12" s="2"/>
      <c r="AD12" s="2"/>
      <c r="AE12" s="2"/>
      <c r="AF12" s="2"/>
      <c r="AG12" s="2"/>
    </row>
    <row r="13" spans="2:33">
      <c r="B13" s="80">
        <v>9</v>
      </c>
      <c r="C13" s="8">
        <v>68.505787970714536</v>
      </c>
      <c r="D13" s="8">
        <v>1230.6949134267093</v>
      </c>
      <c r="E13" s="8">
        <v>3462.4022425340831</v>
      </c>
      <c r="F13" s="2">
        <v>0.14702302546815874</v>
      </c>
      <c r="G13" s="9">
        <v>988.07197793660657</v>
      </c>
      <c r="I13" s="9"/>
      <c r="S13" s="80">
        <v>8</v>
      </c>
      <c r="T13" s="8">
        <v>223.46951238850349</v>
      </c>
      <c r="U13" s="8">
        <v>84.627582842712897</v>
      </c>
      <c r="V13" s="8">
        <v>4406.3154149257889</v>
      </c>
      <c r="W13" s="2">
        <v>1.0813306241294203E-2</v>
      </c>
      <c r="X13" s="9">
        <v>103.15824271006311</v>
      </c>
      <c r="Y13" s="9"/>
      <c r="Z13" s="9"/>
      <c r="AA13" s="2"/>
      <c r="AB13" s="2"/>
      <c r="AC13" s="2"/>
      <c r="AD13" s="2"/>
      <c r="AE13" s="2"/>
      <c r="AF13" s="2"/>
      <c r="AG13" s="2"/>
    </row>
    <row r="14" spans="2:33">
      <c r="B14" s="80">
        <v>10</v>
      </c>
      <c r="C14" s="8">
        <v>104.029931148353</v>
      </c>
      <c r="D14" s="8">
        <v>633.08078363425898</v>
      </c>
      <c r="E14" s="8">
        <v>2933.3513900481776</v>
      </c>
      <c r="F14" s="2">
        <v>7.5629996646772127E-2</v>
      </c>
      <c r="G14" s="9">
        <v>508.27331392591384</v>
      </c>
      <c r="I14" s="9"/>
      <c r="S14" s="80">
        <v>7</v>
      </c>
      <c r="T14" s="8">
        <v>277.14502271999999</v>
      </c>
      <c r="U14" s="8">
        <v>21.317843411410141</v>
      </c>
      <c r="V14" s="8">
        <v>4662.1425942343794</v>
      </c>
      <c r="W14" s="2">
        <v>2.7238916848182563E-3</v>
      </c>
      <c r="X14" s="9">
        <v>25.985750636132316</v>
      </c>
      <c r="Y14" s="9"/>
      <c r="Z14" s="9"/>
      <c r="AA14" s="2"/>
      <c r="AB14" s="2"/>
      <c r="AC14" s="2"/>
      <c r="AD14" s="2"/>
      <c r="AE14" s="2"/>
      <c r="AF14" s="2"/>
      <c r="AG14" s="2"/>
    </row>
    <row r="15" spans="2:33">
      <c r="B15" s="80">
        <v>11</v>
      </c>
      <c r="C15" s="8">
        <v>59.332974511041016</v>
      </c>
      <c r="D15" s="8">
        <v>178.10731613152848</v>
      </c>
      <c r="E15" s="8">
        <v>2814.57704842769</v>
      </c>
      <c r="F15" s="2">
        <v>2.1277309420870159E-2</v>
      </c>
      <c r="G15" s="9">
        <v>142.99469853585285</v>
      </c>
      <c r="I15" s="9"/>
      <c r="S15" s="80">
        <v>6</v>
      </c>
      <c r="T15" s="8">
        <v>655.35591046581976</v>
      </c>
      <c r="U15" s="8">
        <v>103.55683586483252</v>
      </c>
      <c r="V15" s="8">
        <v>5213.9416688353667</v>
      </c>
      <c r="W15" s="2">
        <v>1.3231995313715801E-2</v>
      </c>
      <c r="X15" s="9">
        <v>126.23238014827017</v>
      </c>
      <c r="Y15" s="9"/>
      <c r="Z15" s="9"/>
      <c r="AA15" s="2"/>
      <c r="AB15" s="2"/>
      <c r="AC15" s="2"/>
      <c r="AD15" s="2"/>
      <c r="AE15" s="2"/>
      <c r="AF15" s="2"/>
      <c r="AG15" s="2"/>
    </row>
    <row r="16" spans="2:33">
      <c r="B16" s="80">
        <v>12</v>
      </c>
      <c r="C16" s="8">
        <v>131.61861983593229</v>
      </c>
      <c r="D16" s="8">
        <v>337.77007634795723</v>
      </c>
      <c r="E16" s="8">
        <v>2608.4255919156649</v>
      </c>
      <c r="F16" s="2">
        <v>4.0351169079764784E-2</v>
      </c>
      <c r="G16" s="9">
        <v>271.18105696534167</v>
      </c>
      <c r="I16" s="9"/>
      <c r="S16" s="80">
        <v>5</v>
      </c>
      <c r="T16" s="8">
        <v>537.72252740447141</v>
      </c>
      <c r="U16" s="8">
        <v>149.42140653606478</v>
      </c>
      <c r="V16" s="8">
        <v>5602.2427897037733</v>
      </c>
      <c r="W16" s="2">
        <v>1.9092349959733201E-2</v>
      </c>
      <c r="X16" s="9">
        <v>182.13978473395156</v>
      </c>
      <c r="Y16" s="9"/>
      <c r="Z16" s="9"/>
      <c r="AA16" s="2"/>
      <c r="AB16" s="2"/>
      <c r="AC16" s="2"/>
      <c r="AD16" s="2"/>
      <c r="AE16" s="2"/>
      <c r="AF16" s="2"/>
      <c r="AG16" s="2"/>
    </row>
    <row r="17" spans="2:33">
      <c r="B17" s="80">
        <v>13</v>
      </c>
      <c r="C17" s="8">
        <v>111.41563067150634</v>
      </c>
      <c r="D17" s="8">
        <v>791.21944448732495</v>
      </c>
      <c r="E17" s="8">
        <v>1928.6217780998463</v>
      </c>
      <c r="F17" s="2">
        <v>9.4521782180657349E-2</v>
      </c>
      <c r="G17" s="9">
        <v>635.23603857248827</v>
      </c>
      <c r="I17" s="9"/>
      <c r="S17" s="80">
        <v>4</v>
      </c>
      <c r="T17" s="8">
        <v>983.16759350125392</v>
      </c>
      <c r="U17" s="8">
        <v>346.22586917005026</v>
      </c>
      <c r="V17" s="8">
        <v>6239.1845140349769</v>
      </c>
      <c r="W17" s="2">
        <v>4.4239079343105565E-2</v>
      </c>
      <c r="X17" s="9">
        <v>422.03795789285073</v>
      </c>
      <c r="Y17" s="9"/>
      <c r="Z17" s="9"/>
      <c r="AA17" s="2"/>
      <c r="AB17" s="2"/>
      <c r="AC17" s="2"/>
      <c r="AD17" s="2"/>
      <c r="AE17" s="2"/>
      <c r="AF17" s="2"/>
      <c r="AG17" s="2"/>
    </row>
    <row r="18" spans="2:33">
      <c r="B18" s="80">
        <v>14</v>
      </c>
      <c r="C18" s="8">
        <v>39.602228621509958</v>
      </c>
      <c r="D18" s="8">
        <v>377.12189013772434</v>
      </c>
      <c r="E18" s="8">
        <v>1591.1021165836319</v>
      </c>
      <c r="F18" s="2">
        <v>4.5052271406515985E-2</v>
      </c>
      <c r="G18" s="9">
        <v>302.77493458882611</v>
      </c>
      <c r="I18" s="9"/>
      <c r="S18" s="80">
        <v>3</v>
      </c>
      <c r="T18" s="8">
        <v>595.22185982442727</v>
      </c>
      <c r="U18" s="8">
        <v>1038.4905105851265</v>
      </c>
      <c r="V18" s="8">
        <v>5795.9158632742774</v>
      </c>
      <c r="W18" s="2">
        <v>0.13269333168248348</v>
      </c>
      <c r="X18" s="9">
        <v>1265.8858086747596</v>
      </c>
      <c r="Y18" s="9"/>
      <c r="Z18" s="9"/>
      <c r="AA18" s="2"/>
      <c r="AB18" s="2"/>
      <c r="AC18" s="2"/>
      <c r="AD18" s="2"/>
      <c r="AE18" s="2"/>
      <c r="AF18" s="2"/>
      <c r="AG18" s="2"/>
    </row>
    <row r="19" spans="2:33">
      <c r="B19" s="80">
        <v>15</v>
      </c>
      <c r="C19" s="8">
        <v>0</v>
      </c>
      <c r="D19" s="8">
        <v>0</v>
      </c>
      <c r="E19" s="8">
        <v>1591.1021165836319</v>
      </c>
      <c r="F19" s="2">
        <v>0</v>
      </c>
      <c r="G19" s="9">
        <v>0</v>
      </c>
      <c r="I19" s="9"/>
      <c r="S19" s="80">
        <v>2</v>
      </c>
      <c r="T19" s="8">
        <v>0</v>
      </c>
      <c r="U19" s="8">
        <v>2172.2613015420793</v>
      </c>
      <c r="V19" s="8">
        <v>3623.6545617321981</v>
      </c>
      <c r="W19" s="2">
        <v>0.27756112015326756</v>
      </c>
      <c r="X19" s="9">
        <v>2647.9151483109035</v>
      </c>
      <c r="Y19" s="9"/>
      <c r="Z19" s="9"/>
      <c r="AA19" s="2"/>
      <c r="AB19" s="2"/>
      <c r="AC19" s="2"/>
      <c r="AD19" s="2"/>
      <c r="AE19" s="2"/>
      <c r="AF19" s="2"/>
      <c r="AG19" s="2"/>
    </row>
    <row r="20" spans="2:33">
      <c r="B20" s="80">
        <v>16</v>
      </c>
      <c r="C20" s="8">
        <v>0</v>
      </c>
      <c r="D20" s="8">
        <v>1591.102116583633</v>
      </c>
      <c r="E20" s="8">
        <v>0</v>
      </c>
      <c r="F20" s="2">
        <v>0.19007850317474129</v>
      </c>
      <c r="G20" s="9">
        <v>1277.4274097343418</v>
      </c>
      <c r="I20" s="9"/>
      <c r="S20" s="80">
        <v>1</v>
      </c>
      <c r="T20" s="8">
        <v>0</v>
      </c>
      <c r="U20" s="8">
        <v>3623.6545617321985</v>
      </c>
      <c r="V20" s="8">
        <v>0</v>
      </c>
      <c r="W20" s="2">
        <v>0.46301318284724019</v>
      </c>
      <c r="X20" s="9">
        <v>4417.1158411950964</v>
      </c>
      <c r="Y20" s="9"/>
      <c r="Z20" s="9"/>
      <c r="AA20" s="2"/>
      <c r="AB20" s="2"/>
      <c r="AC20" s="2"/>
      <c r="AD20" s="2"/>
      <c r="AE20" s="2"/>
      <c r="AF20" s="2"/>
      <c r="AG20" s="2"/>
    </row>
    <row r="21" spans="2:33" ht="7.15" customHeight="1">
      <c r="G21" s="9"/>
      <c r="S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2:33">
      <c r="C22" s="10">
        <f>SUM(C5:C20)</f>
        <v>8370.7630795099176</v>
      </c>
      <c r="D22" s="10">
        <f>SUM(D5:D20)</f>
        <v>8370.7630795099176</v>
      </c>
      <c r="G22" s="10">
        <f>SUM(G5:G20)</f>
        <v>6720.5254060738716</v>
      </c>
      <c r="S22" s="2"/>
      <c r="T22" s="10">
        <f>SUM(T5:T20)</f>
        <v>7826.2449018168327</v>
      </c>
      <c r="U22" s="10">
        <f>SUM(U5:U20)</f>
        <v>7826.2449018168318</v>
      </c>
      <c r="V22" s="2"/>
      <c r="W22" s="2"/>
      <c r="X22" s="10">
        <f>SUM(X5:X20)</f>
        <v>9539.9353729684517</v>
      </c>
      <c r="Y22" s="2"/>
      <c r="Z22" s="2"/>
      <c r="AA22" s="2"/>
      <c r="AB22" s="2"/>
      <c r="AC22" s="2"/>
      <c r="AD22" s="2"/>
      <c r="AE22" s="2"/>
      <c r="AF22" s="2"/>
      <c r="AG22" s="2"/>
    </row>
    <row r="23" spans="2:33" ht="16.5" thickBot="1">
      <c r="G23" s="11">
        <f>+C22-G22</f>
        <v>1650.237673436046</v>
      </c>
      <c r="S23" s="2"/>
      <c r="T23" s="2"/>
      <c r="U23" s="2"/>
      <c r="V23" s="2"/>
      <c r="W23" s="2"/>
      <c r="X23" s="11">
        <f>+T22-X22</f>
        <v>-1713.690471151619</v>
      </c>
      <c r="Y23" s="2"/>
      <c r="Z23" s="2"/>
      <c r="AA23" s="2"/>
      <c r="AB23" s="2"/>
      <c r="AC23" s="2"/>
      <c r="AD23" s="2"/>
      <c r="AE23" s="2"/>
      <c r="AF23" s="2"/>
      <c r="AG23" s="2"/>
    </row>
    <row r="24" spans="2:33" ht="24" customHeight="1" thickBot="1">
      <c r="B24" s="90" t="s">
        <v>66</v>
      </c>
      <c r="C24" s="92" t="s">
        <v>7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4"/>
      <c r="S24" s="90" t="s">
        <v>67</v>
      </c>
      <c r="T24" s="92" t="s">
        <v>7</v>
      </c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4"/>
    </row>
    <row r="25" spans="2:33" ht="22.9" customHeight="1" thickBot="1">
      <c r="B25" s="91"/>
      <c r="C25" s="12">
        <v>0.29166666666666669</v>
      </c>
      <c r="D25" s="13">
        <v>0.33333333333333331</v>
      </c>
      <c r="E25" s="13">
        <v>0.375</v>
      </c>
      <c r="F25" s="13">
        <v>0.41666666666666702</v>
      </c>
      <c r="G25" s="13">
        <v>0.45833333333333398</v>
      </c>
      <c r="H25" s="13">
        <v>0.5</v>
      </c>
      <c r="I25" s="13">
        <v>0.54166666666666696</v>
      </c>
      <c r="J25" s="13">
        <v>0.58333333333333304</v>
      </c>
      <c r="K25" s="13">
        <v>0.625</v>
      </c>
      <c r="L25" s="13">
        <v>0.66666666666666696</v>
      </c>
      <c r="M25" s="13">
        <v>0.70833333333333304</v>
      </c>
      <c r="N25" s="13">
        <v>0.75</v>
      </c>
      <c r="O25" s="13">
        <v>0.79166666666666696</v>
      </c>
      <c r="P25" s="14">
        <v>0.83333333333333304</v>
      </c>
      <c r="S25" s="91"/>
      <c r="T25" s="12">
        <v>0.29166666666666669</v>
      </c>
      <c r="U25" s="13">
        <v>0.33333333333333331</v>
      </c>
      <c r="V25" s="13">
        <v>0.375</v>
      </c>
      <c r="W25" s="13">
        <v>0.41666666666666702</v>
      </c>
      <c r="X25" s="13">
        <v>0.45833333333333398</v>
      </c>
      <c r="Y25" s="13">
        <v>0.5</v>
      </c>
      <c r="Z25" s="13">
        <v>0.54166666666666696</v>
      </c>
      <c r="AA25" s="13">
        <v>0.58333333333333304</v>
      </c>
      <c r="AB25" s="13">
        <v>0.625</v>
      </c>
      <c r="AC25" s="13">
        <v>0.66666666666666696</v>
      </c>
      <c r="AD25" s="13">
        <v>0.70833333333333304</v>
      </c>
      <c r="AE25" s="13">
        <v>0.75</v>
      </c>
      <c r="AF25" s="13">
        <v>0.79166666666666696</v>
      </c>
      <c r="AG25" s="14">
        <v>0.83333333333333304</v>
      </c>
    </row>
    <row r="26" spans="2:33">
      <c r="B26" s="81" t="s">
        <v>159</v>
      </c>
      <c r="C26" s="15">
        <v>250.37634362364733</v>
      </c>
      <c r="D26" s="16">
        <v>281.2306758675</v>
      </c>
      <c r="E26" s="16">
        <v>239.16795014141047</v>
      </c>
      <c r="F26" s="16">
        <v>234.14708986405162</v>
      </c>
      <c r="G26" s="16">
        <v>232.14707913116175</v>
      </c>
      <c r="H26" s="16">
        <v>239.60545248923012</v>
      </c>
      <c r="I26" s="16">
        <v>271.50145698979628</v>
      </c>
      <c r="J26" s="16">
        <v>322.91839958117271</v>
      </c>
      <c r="K26" s="16">
        <v>263.52224750337115</v>
      </c>
      <c r="L26" s="16">
        <v>259.83472771460555</v>
      </c>
      <c r="M26" s="16">
        <v>263.41808027769986</v>
      </c>
      <c r="N26" s="16">
        <v>226.23038071302932</v>
      </c>
      <c r="O26" s="16">
        <v>199.56357094116473</v>
      </c>
      <c r="P26" s="17">
        <v>155.06333213436571</v>
      </c>
      <c r="S26" s="81" t="s">
        <v>174</v>
      </c>
      <c r="T26" s="15">
        <v>104.60854257033458</v>
      </c>
      <c r="U26" s="16">
        <v>117.49964354775723</v>
      </c>
      <c r="V26" s="16">
        <v>99.925617299670563</v>
      </c>
      <c r="W26" s="16">
        <v>97.827875682142647</v>
      </c>
      <c r="X26" s="16">
        <v>96.992260763957233</v>
      </c>
      <c r="Y26" s="16">
        <v>100.10840806302362</v>
      </c>
      <c r="Z26" s="16">
        <v>113.43472514366783</v>
      </c>
      <c r="AA26" s="16">
        <v>134.91699199868413</v>
      </c>
      <c r="AB26" s="16">
        <v>110.10096979299067</v>
      </c>
      <c r="AC26" s="16">
        <v>108.56030478758636</v>
      </c>
      <c r="AD26" s="16">
        <v>110.05744818266852</v>
      </c>
      <c r="AE26" s="16">
        <v>94.520233297658763</v>
      </c>
      <c r="AF26" s="16">
        <v>83.378701055186795</v>
      </c>
      <c r="AG26" s="17">
        <v>64.786269125561674</v>
      </c>
    </row>
    <row r="27" spans="2:33" ht="16.5" thickBot="1">
      <c r="B27" s="82" t="s">
        <v>160</v>
      </c>
      <c r="C27" s="18">
        <v>157.25070525961286</v>
      </c>
      <c r="D27" s="19">
        <v>176.62899569807902</v>
      </c>
      <c r="E27" s="19">
        <v>150.21119124482905</v>
      </c>
      <c r="F27" s="19">
        <v>147.05780299657087</v>
      </c>
      <c r="G27" s="19">
        <v>145.80168153668379</v>
      </c>
      <c r="H27" s="19">
        <v>150.48596781417936</v>
      </c>
      <c r="I27" s="19">
        <v>170.51848817967004</v>
      </c>
      <c r="J27" s="19">
        <v>202.81127737760019</v>
      </c>
      <c r="K27" s="19">
        <v>165.50708693866224</v>
      </c>
      <c r="L27" s="19">
        <v>163.19111299699549</v>
      </c>
      <c r="M27" s="19">
        <v>165.44166394595979</v>
      </c>
      <c r="N27" s="19">
        <v>142.08565555118454</v>
      </c>
      <c r="O27" s="19">
        <v>125.33736941935692</v>
      </c>
      <c r="P27" s="20">
        <v>97.388666936869569</v>
      </c>
      <c r="S27" s="82" t="s">
        <v>173</v>
      </c>
      <c r="T27" s="18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20">
        <v>0</v>
      </c>
    </row>
    <row r="28" spans="2:33">
      <c r="B28" s="81" t="s">
        <v>161</v>
      </c>
      <c r="C28" s="18">
        <v>110.94469693156063</v>
      </c>
      <c r="D28" s="19">
        <v>124.61661373599075</v>
      </c>
      <c r="E28" s="19">
        <v>105.97812620854684</v>
      </c>
      <c r="F28" s="19">
        <v>103.75332408169494</v>
      </c>
      <c r="G28" s="19">
        <v>102.86709584859211</v>
      </c>
      <c r="H28" s="19">
        <v>106.17198863453808</v>
      </c>
      <c r="I28" s="19">
        <v>120.30548264370927</v>
      </c>
      <c r="J28" s="19">
        <v>143.08893346972789</v>
      </c>
      <c r="K28" s="19">
        <v>116.76980125539276</v>
      </c>
      <c r="L28" s="19">
        <v>115.13581795060944</v>
      </c>
      <c r="M28" s="19">
        <v>116.72364353491866</v>
      </c>
      <c r="N28" s="19">
        <v>100.24533732566292</v>
      </c>
      <c r="O28" s="19">
        <v>88.428960884291826</v>
      </c>
      <c r="P28" s="20">
        <v>68.710382697753857</v>
      </c>
      <c r="S28" s="81" t="s">
        <v>172</v>
      </c>
      <c r="T28" s="18">
        <v>49.202821264968911</v>
      </c>
      <c r="U28" s="19">
        <v>55.266174426345088</v>
      </c>
      <c r="V28" s="19">
        <v>47.000198712085457</v>
      </c>
      <c r="W28" s="19">
        <v>46.013522066648825</v>
      </c>
      <c r="X28" s="19">
        <v>45.620489046059951</v>
      </c>
      <c r="Y28" s="19">
        <v>47.086174685339273</v>
      </c>
      <c r="Z28" s="19">
        <v>53.354232544938831</v>
      </c>
      <c r="AA28" s="19">
        <v>63.458456449244316</v>
      </c>
      <c r="AB28" s="19">
        <v>51.786194556547819</v>
      </c>
      <c r="AC28" s="19">
        <v>51.061539924837106</v>
      </c>
      <c r="AD28" s="19">
        <v>51.765724086725484</v>
      </c>
      <c r="AE28" s="19">
        <v>44.457766360151226</v>
      </c>
      <c r="AF28" s="19">
        <v>39.217326085632983</v>
      </c>
      <c r="AG28" s="20">
        <v>30.472341377530672</v>
      </c>
    </row>
    <row r="29" spans="2:33" ht="16.5" thickBot="1">
      <c r="B29" s="82" t="s">
        <v>162</v>
      </c>
      <c r="C29" s="18">
        <v>25.595693531328742</v>
      </c>
      <c r="D29" s="19">
        <v>28.749897402180615</v>
      </c>
      <c r="E29" s="19">
        <v>24.449872003632375</v>
      </c>
      <c r="F29" s="19">
        <v>23.936595073939401</v>
      </c>
      <c r="G29" s="19">
        <v>23.732136213978709</v>
      </c>
      <c r="H29" s="19">
        <v>24.494597379248781</v>
      </c>
      <c r="I29" s="19">
        <v>27.755290239663516</v>
      </c>
      <c r="J29" s="19">
        <v>33.011586764486225</v>
      </c>
      <c r="K29" s="19">
        <v>26.939584579612017</v>
      </c>
      <c r="L29" s="19">
        <v>26.562613556559498</v>
      </c>
      <c r="M29" s="19">
        <v>26.92893568065573</v>
      </c>
      <c r="N29" s="19">
        <v>23.12727875326167</v>
      </c>
      <c r="O29" s="19">
        <v>20.401160620452487</v>
      </c>
      <c r="P29" s="20">
        <v>15.851950986327159</v>
      </c>
      <c r="S29" s="82" t="s">
        <v>171</v>
      </c>
      <c r="T29" s="18">
        <v>36.729189221074876</v>
      </c>
      <c r="U29" s="19">
        <v>41.255394016915439</v>
      </c>
      <c r="V29" s="19">
        <v>35.084963576130768</v>
      </c>
      <c r="W29" s="19">
        <v>34.348423835551714</v>
      </c>
      <c r="X29" s="19">
        <v>34.055030411918565</v>
      </c>
      <c r="Y29" s="19">
        <v>35.149143387550517</v>
      </c>
      <c r="Z29" s="19">
        <v>39.828157258200015</v>
      </c>
      <c r="AA29" s="19">
        <v>47.370813190768899</v>
      </c>
      <c r="AB29" s="19">
        <v>38.657639745163586</v>
      </c>
      <c r="AC29" s="19">
        <v>38.116695620339975</v>
      </c>
      <c r="AD29" s="19">
        <v>38.642358837682707</v>
      </c>
      <c r="AE29" s="19">
        <v>33.18707486700383</v>
      </c>
      <c r="AF29" s="19">
        <v>29.275162551895178</v>
      </c>
      <c r="AG29" s="20">
        <v>22.747158876057604</v>
      </c>
    </row>
    <row r="30" spans="2:33">
      <c r="B30" s="81" t="s">
        <v>163</v>
      </c>
      <c r="C30" s="18">
        <v>6.5538706180814152</v>
      </c>
      <c r="D30" s="19">
        <v>7.361516015433601</v>
      </c>
      <c r="E30" s="19">
        <v>6.2604788397049962</v>
      </c>
      <c r="F30" s="19">
        <v>6.1290524111014335</v>
      </c>
      <c r="G30" s="19">
        <v>6.0766999748112172</v>
      </c>
      <c r="H30" s="19">
        <v>6.2719309351434802</v>
      </c>
      <c r="I30" s="19">
        <v>7.1068432263968209</v>
      </c>
      <c r="J30" s="19">
        <v>8.4527371093577912</v>
      </c>
      <c r="K30" s="19">
        <v>6.8979788191139804</v>
      </c>
      <c r="L30" s="19">
        <v>6.8014540147038955</v>
      </c>
      <c r="M30" s="19">
        <v>6.8952521297238656</v>
      </c>
      <c r="N30" s="19">
        <v>5.9218240174526615</v>
      </c>
      <c r="O30" s="19">
        <v>5.2237915335831149</v>
      </c>
      <c r="P30" s="20">
        <v>4.0589498261258088</v>
      </c>
      <c r="S30" s="81" t="s">
        <v>170</v>
      </c>
      <c r="T30" s="18">
        <v>19.309154129331795</v>
      </c>
      <c r="U30" s="19">
        <v>21.688656314848547</v>
      </c>
      <c r="V30" s="19">
        <v>18.444756981588363</v>
      </c>
      <c r="W30" s="19">
        <v>18.057545619866868</v>
      </c>
      <c r="X30" s="19">
        <v>17.903303749637555</v>
      </c>
      <c r="Y30" s="19">
        <v>18.47849739070103</v>
      </c>
      <c r="Z30" s="19">
        <v>20.938333883628882</v>
      </c>
      <c r="AA30" s="19">
        <v>24.90363529744074</v>
      </c>
      <c r="AB30" s="19">
        <v>20.322973088859865</v>
      </c>
      <c r="AC30" s="19">
        <v>20.038589640624576</v>
      </c>
      <c r="AD30" s="19">
        <v>20.314939658118753</v>
      </c>
      <c r="AE30" s="19">
        <v>17.447004883542512</v>
      </c>
      <c r="AF30" s="19">
        <v>15.390446613818376</v>
      </c>
      <c r="AG30" s="20">
        <v>11.95856500121622</v>
      </c>
    </row>
    <row r="31" spans="2:33" ht="16.5" thickBot="1">
      <c r="B31" s="82" t="s">
        <v>164</v>
      </c>
      <c r="C31" s="18">
        <v>9.5369135042795889</v>
      </c>
      <c r="D31" s="19">
        <v>10.712164702468808</v>
      </c>
      <c r="E31" s="19">
        <v>9.1099822790089586</v>
      </c>
      <c r="F31" s="19">
        <v>8.9187361353468368</v>
      </c>
      <c r="G31" s="19">
        <v>8.8425550988673169</v>
      </c>
      <c r="H31" s="19">
        <v>9.1266468807388534</v>
      </c>
      <c r="I31" s="19">
        <v>10.34157570209449</v>
      </c>
      <c r="J31" s="19">
        <v>12.300063181588751</v>
      </c>
      <c r="K31" s="19">
        <v>10.037645108639747</v>
      </c>
      <c r="L31" s="19">
        <v>9.8971863226306382</v>
      </c>
      <c r="M31" s="19">
        <v>10.033677346323108</v>
      </c>
      <c r="N31" s="19">
        <v>8.6171861992820791</v>
      </c>
      <c r="O31" s="19">
        <v>7.6014390462218477</v>
      </c>
      <c r="P31" s="20">
        <v>5.9064109845525854</v>
      </c>
      <c r="S31" s="82" t="s">
        <v>169</v>
      </c>
      <c r="T31" s="18">
        <v>12.974952540344189</v>
      </c>
      <c r="U31" s="19">
        <v>14.573879542528392</v>
      </c>
      <c r="V31" s="19">
        <v>12.39411342678909</v>
      </c>
      <c r="W31" s="19">
        <v>12.133923414954928</v>
      </c>
      <c r="X31" s="19">
        <v>12.030279260863312</v>
      </c>
      <c r="Y31" s="19">
        <v>12.41678558549663</v>
      </c>
      <c r="Z31" s="19">
        <v>14.069693917936885</v>
      </c>
      <c r="AA31" s="19">
        <v>16.734212379375514</v>
      </c>
      <c r="AB31" s="19">
        <v>13.656196928175538</v>
      </c>
      <c r="AC31" s="19">
        <v>13.465103019069124</v>
      </c>
      <c r="AD31" s="19">
        <v>13.650798795149935</v>
      </c>
      <c r="AE31" s="19">
        <v>11.723665305008948</v>
      </c>
      <c r="AF31" s="19">
        <v>10.341743250454067</v>
      </c>
      <c r="AG31" s="20">
        <v>8.0356608219156094</v>
      </c>
    </row>
    <row r="32" spans="2:33">
      <c r="B32" s="81" t="s">
        <v>165</v>
      </c>
      <c r="C32" s="18">
        <v>3.5189688265742518</v>
      </c>
      <c r="D32" s="19">
        <v>3.9526177558600279</v>
      </c>
      <c r="E32" s="19">
        <v>3.3614380203921121</v>
      </c>
      <c r="F32" s="19">
        <v>3.2908712466190724</v>
      </c>
      <c r="G32" s="19">
        <v>3.2627616603858285</v>
      </c>
      <c r="H32" s="19">
        <v>3.3675869923806343</v>
      </c>
      <c r="I32" s="19">
        <v>3.8158763311628929</v>
      </c>
      <c r="J32" s="19">
        <v>4.5385269439092113</v>
      </c>
      <c r="K32" s="19">
        <v>3.7037307944198457</v>
      </c>
      <c r="L32" s="19">
        <v>3.6519037448023024</v>
      </c>
      <c r="M32" s="19">
        <v>3.7022667534701976</v>
      </c>
      <c r="N32" s="19">
        <v>3.1796041344458144</v>
      </c>
      <c r="O32" s="19">
        <v>2.8048096513358929</v>
      </c>
      <c r="P32" s="20">
        <v>2.1793713576462106</v>
      </c>
      <c r="S32" s="81" t="s">
        <v>168</v>
      </c>
      <c r="T32" s="18">
        <v>41.849390716255932</v>
      </c>
      <c r="U32" s="19">
        <v>47.00656725567805</v>
      </c>
      <c r="V32" s="19">
        <v>39.975953188768351</v>
      </c>
      <c r="W32" s="19">
        <v>39.136736749875219</v>
      </c>
      <c r="X32" s="19">
        <v>38.802443064672978</v>
      </c>
      <c r="Y32" s="19">
        <v>40.049079932406343</v>
      </c>
      <c r="Z32" s="19">
        <v>45.380367766204628</v>
      </c>
      <c r="AA32" s="19">
        <v>53.974501256612321</v>
      </c>
      <c r="AB32" s="19">
        <v>44.046675251283176</v>
      </c>
      <c r="AC32" s="19">
        <v>43.430321269191545</v>
      </c>
      <c r="AD32" s="19">
        <v>44.029264121845564</v>
      </c>
      <c r="AE32" s="19">
        <v>37.813490912616338</v>
      </c>
      <c r="AF32" s="19">
        <v>33.356241776586415</v>
      </c>
      <c r="AG32" s="20">
        <v>25.918207280836487</v>
      </c>
    </row>
    <row r="33" spans="2:33" ht="16.5" thickBot="1">
      <c r="B33" s="82" t="s">
        <v>166</v>
      </c>
      <c r="C33" s="18">
        <v>8.2372894671050982</v>
      </c>
      <c r="D33" s="19">
        <v>9.2523856312574217</v>
      </c>
      <c r="E33" s="19">
        <v>7.8685374506878452</v>
      </c>
      <c r="F33" s="19">
        <v>7.7033529972369932</v>
      </c>
      <c r="G33" s="19">
        <v>7.6375533809246212</v>
      </c>
      <c r="H33" s="19">
        <v>7.8829311167561755</v>
      </c>
      <c r="I33" s="19">
        <v>8.9322979144045291</v>
      </c>
      <c r="J33" s="19">
        <v>10.623896383768432</v>
      </c>
      <c r="K33" s="19">
        <v>8.6697848618249598</v>
      </c>
      <c r="L33" s="19">
        <v>8.5484668192490254</v>
      </c>
      <c r="M33" s="19">
        <v>8.6663577984753566</v>
      </c>
      <c r="N33" s="19">
        <v>7.4428961826671864</v>
      </c>
      <c r="O33" s="19">
        <v>6.5655679651688912</v>
      </c>
      <c r="P33" s="20">
        <v>5.1015265022186087</v>
      </c>
      <c r="S33" s="82" t="s">
        <v>167</v>
      </c>
      <c r="T33" s="18">
        <v>66.914718563414951</v>
      </c>
      <c r="U33" s="19">
        <v>75.160741045726269</v>
      </c>
      <c r="V33" s="19">
        <v>63.919201956066203</v>
      </c>
      <c r="W33" s="19">
        <v>62.577344144967604</v>
      </c>
      <c r="X33" s="19">
        <v>62.042828170422098</v>
      </c>
      <c r="Y33" s="19">
        <v>64.036127325498029</v>
      </c>
      <c r="Z33" s="19">
        <v>72.560543544551805</v>
      </c>
      <c r="AA33" s="19">
        <v>86.302058390159075</v>
      </c>
      <c r="AB33" s="19">
        <v>70.428047521104659</v>
      </c>
      <c r="AC33" s="19">
        <v>69.442533693036395</v>
      </c>
      <c r="AD33" s="19">
        <v>70.400208147430419</v>
      </c>
      <c r="AE33" s="19">
        <v>60.461551745724996</v>
      </c>
      <c r="AF33" s="19">
        <v>53.334672085118306</v>
      </c>
      <c r="AG33" s="20">
        <v>41.441691651480909</v>
      </c>
    </row>
    <row r="34" spans="2:33">
      <c r="B34" s="81" t="s">
        <v>167</v>
      </c>
      <c r="C34" s="18">
        <v>4.9879094180584458</v>
      </c>
      <c r="D34" s="19">
        <v>5.602578568345062</v>
      </c>
      <c r="E34" s="19">
        <v>4.764619746988763</v>
      </c>
      <c r="F34" s="19">
        <v>4.6645959352270649</v>
      </c>
      <c r="G34" s="19">
        <v>4.6247524251477161</v>
      </c>
      <c r="H34" s="19">
        <v>4.7733355148186192</v>
      </c>
      <c r="I34" s="19">
        <v>5.4087564932715635</v>
      </c>
      <c r="J34" s="19">
        <v>6.4330667315614827</v>
      </c>
      <c r="K34" s="19">
        <v>5.249797489517495</v>
      </c>
      <c r="L34" s="19">
        <v>5.1763360178086977</v>
      </c>
      <c r="M34" s="19">
        <v>5.2477223067008634</v>
      </c>
      <c r="N34" s="19">
        <v>4.5068820411629771</v>
      </c>
      <c r="O34" s="19">
        <v>3.9756352401049959</v>
      </c>
      <c r="P34" s="20">
        <v>3.0891171408394911</v>
      </c>
      <c r="S34" s="81" t="s">
        <v>166</v>
      </c>
      <c r="T34" s="18">
        <v>16.270824969826542</v>
      </c>
      <c r="U34" s="19">
        <v>18.275908326484313</v>
      </c>
      <c r="V34" s="19">
        <v>15.542442224464029</v>
      </c>
      <c r="W34" s="19">
        <v>15.216159247452198</v>
      </c>
      <c r="X34" s="19">
        <v>15.086187605157027</v>
      </c>
      <c r="Y34" s="19">
        <v>15.570873521216097</v>
      </c>
      <c r="Z34" s="19">
        <v>17.643650441569271</v>
      </c>
      <c r="AA34" s="19">
        <v>20.985004745574255</v>
      </c>
      <c r="AB34" s="19">
        <v>17.1251177436625</v>
      </c>
      <c r="AC34" s="19">
        <v>16.885482528180784</v>
      </c>
      <c r="AD34" s="19">
        <v>17.118348387292961</v>
      </c>
      <c r="AE34" s="19">
        <v>14.701688163367152</v>
      </c>
      <c r="AF34" s="19">
        <v>12.968732932764892</v>
      </c>
      <c r="AG34" s="20">
        <v>10.076863891697368</v>
      </c>
    </row>
    <row r="35" spans="2:33" ht="16.5" thickBot="1">
      <c r="B35" s="82" t="s">
        <v>168</v>
      </c>
      <c r="C35" s="18">
        <v>7.5744238363722207</v>
      </c>
      <c r="D35" s="19">
        <v>8.5078338631376766</v>
      </c>
      <c r="E35" s="19">
        <v>7.2353457847855793</v>
      </c>
      <c r="F35" s="19">
        <v>7.0834539438331987</v>
      </c>
      <c r="G35" s="19">
        <v>7.022949310092832</v>
      </c>
      <c r="H35" s="19">
        <v>7.2485811734162846</v>
      </c>
      <c r="I35" s="19">
        <v>8.2135040302548497</v>
      </c>
      <c r="J35" s="19">
        <v>9.7689773226634582</v>
      </c>
      <c r="K35" s="19">
        <v>7.972115751894842</v>
      </c>
      <c r="L35" s="19">
        <v>7.860560333436041</v>
      </c>
      <c r="M35" s="19">
        <v>7.9689644688875321</v>
      </c>
      <c r="N35" s="19">
        <v>6.8439564352775788</v>
      </c>
      <c r="O35" s="19">
        <v>6.037227985406016</v>
      </c>
      <c r="P35" s="20">
        <v>4.6909998846828458</v>
      </c>
      <c r="S35" s="82" t="s">
        <v>165</v>
      </c>
      <c r="T35" s="18">
        <v>20.178941224412444</v>
      </c>
      <c r="U35" s="19">
        <v>22.665628855745013</v>
      </c>
      <c r="V35" s="19">
        <v>19.275607027480017</v>
      </c>
      <c r="W35" s="19">
        <v>18.870953604690584</v>
      </c>
      <c r="X35" s="19">
        <v>18.70976385951305</v>
      </c>
      <c r="Y35" s="19">
        <v>19.310867284237602</v>
      </c>
      <c r="Z35" s="19">
        <v>21.881507907850139</v>
      </c>
      <c r="AA35" s="19">
        <v>26.025427606789226</v>
      </c>
      <c r="AB35" s="19">
        <v>21.238427986985602</v>
      </c>
      <c r="AC35" s="19">
        <v>20.941234394314531</v>
      </c>
      <c r="AD35" s="19">
        <v>21.230032687757607</v>
      </c>
      <c r="AE35" s="19">
        <v>18.23291086336285</v>
      </c>
      <c r="AF35" s="19">
        <v>16.083714260995741</v>
      </c>
      <c r="AG35" s="20">
        <v>12.497242430795625</v>
      </c>
    </row>
    <row r="36" spans="2:33">
      <c r="B36" s="81" t="s">
        <v>169</v>
      </c>
      <c r="C36" s="18">
        <v>4.3200364689120487</v>
      </c>
      <c r="D36" s="19">
        <v>4.8524024208556948</v>
      </c>
      <c r="E36" s="19">
        <v>4.126644921210711</v>
      </c>
      <c r="F36" s="19">
        <v>4.0400141349727505</v>
      </c>
      <c r="G36" s="19">
        <v>4.005505606014891</v>
      </c>
      <c r="H36" s="19">
        <v>4.134193661920242</v>
      </c>
      <c r="I36" s="19">
        <v>4.6845328060294404</v>
      </c>
      <c r="J36" s="19">
        <v>5.5716895713210812</v>
      </c>
      <c r="K36" s="19">
        <v>4.5468581540413133</v>
      </c>
      <c r="L36" s="19">
        <v>4.48323305377526</v>
      </c>
      <c r="M36" s="19">
        <v>4.5450608348247581</v>
      </c>
      <c r="N36" s="19">
        <v>3.9034178745145565</v>
      </c>
      <c r="O36" s="19">
        <v>3.4433041550764281</v>
      </c>
      <c r="P36" s="20">
        <v>2.6754893857640525</v>
      </c>
      <c r="S36" s="81" t="s">
        <v>164</v>
      </c>
      <c r="T36" s="18">
        <v>47.716492501190253</v>
      </c>
      <c r="U36" s="19">
        <v>53.596682665465728</v>
      </c>
      <c r="V36" s="19">
        <v>45.580407215315702</v>
      </c>
      <c r="W36" s="19">
        <v>44.623536297293832</v>
      </c>
      <c r="X36" s="19">
        <v>44.242376097583865</v>
      </c>
      <c r="Y36" s="19">
        <v>45.663786009002251</v>
      </c>
      <c r="Z36" s="19">
        <v>51.742497110626672</v>
      </c>
      <c r="AA36" s="19">
        <v>61.541490578170148</v>
      </c>
      <c r="AB36" s="19">
        <v>50.221826730533813</v>
      </c>
      <c r="AC36" s="19">
        <v>49.519062612318592</v>
      </c>
      <c r="AD36" s="19">
        <v>50.20197463679893</v>
      </c>
      <c r="AE36" s="19">
        <v>43.114777173441915</v>
      </c>
      <c r="AF36" s="19">
        <v>38.032641177309152</v>
      </c>
      <c r="AG36" s="20">
        <v>29.55182673376261</v>
      </c>
    </row>
    <row r="37" spans="2:33" ht="16.5" thickBot="1">
      <c r="B37" s="82" t="s">
        <v>170</v>
      </c>
      <c r="C37" s="18">
        <v>9.5831574662296859</v>
      </c>
      <c r="D37" s="19">
        <v>10.764107391964927</v>
      </c>
      <c r="E37" s="19">
        <v>9.1541560752468616</v>
      </c>
      <c r="F37" s="19">
        <v>8.9619825896950758</v>
      </c>
      <c r="G37" s="19">
        <v>8.8854321556163569</v>
      </c>
      <c r="H37" s="19">
        <v>9.1709014827015807</v>
      </c>
      <c r="I37" s="19">
        <v>10.391721426186159</v>
      </c>
      <c r="J37" s="19">
        <v>12.359705502293236</v>
      </c>
      <c r="K37" s="19">
        <v>10.086317090226267</v>
      </c>
      <c r="L37" s="19">
        <v>9.9451772273936303</v>
      </c>
      <c r="M37" s="19">
        <v>10.082330088451334</v>
      </c>
      <c r="N37" s="19">
        <v>8.658970454800146</v>
      </c>
      <c r="O37" s="19">
        <v>7.6382980004172198</v>
      </c>
      <c r="P37" s="20">
        <v>5.9350508421657135</v>
      </c>
      <c r="S37" s="82" t="s">
        <v>163</v>
      </c>
      <c r="T37" s="18">
        <v>39.151600736123584</v>
      </c>
      <c r="U37" s="19">
        <v>43.976323709180583</v>
      </c>
      <c r="V37" s="19">
        <v>37.398932971434405</v>
      </c>
      <c r="W37" s="19">
        <v>36.613815998776246</v>
      </c>
      <c r="X37" s="19">
        <v>36.301072308422789</v>
      </c>
      <c r="Y37" s="19">
        <v>37.467345653699219</v>
      </c>
      <c r="Z37" s="19">
        <v>42.454955965481986</v>
      </c>
      <c r="AA37" s="19">
        <v>50.495075004985488</v>
      </c>
      <c r="AB37" s="19">
        <v>41.207238950842658</v>
      </c>
      <c r="AC37" s="19">
        <v>40.630617771753485</v>
      </c>
      <c r="AD37" s="19">
        <v>41.190950216970087</v>
      </c>
      <c r="AE37" s="19">
        <v>35.375872224460473</v>
      </c>
      <c r="AF37" s="19">
        <v>31.205956353081028</v>
      </c>
      <c r="AG37" s="20">
        <v>24.247409242716579</v>
      </c>
    </row>
    <row r="38" spans="2:33">
      <c r="B38" s="81" t="s">
        <v>171</v>
      </c>
      <c r="C38" s="18">
        <v>8.1121769416461085</v>
      </c>
      <c r="D38" s="19">
        <v>9.1118552617141635</v>
      </c>
      <c r="E38" s="19">
        <v>7.7490257355714194</v>
      </c>
      <c r="F38" s="19">
        <v>7.586350195303762</v>
      </c>
      <c r="G38" s="19">
        <v>7.5215499800934085</v>
      </c>
      <c r="H38" s="19">
        <v>7.763200782648684</v>
      </c>
      <c r="I38" s="19">
        <v>8.7966292148054652</v>
      </c>
      <c r="J38" s="19">
        <v>10.462534747504966</v>
      </c>
      <c r="K38" s="19">
        <v>8.5381033562058253</v>
      </c>
      <c r="L38" s="19">
        <v>8.4186279594117384</v>
      </c>
      <c r="M38" s="19">
        <v>8.5347283449969549</v>
      </c>
      <c r="N38" s="19">
        <v>7.3298493434294461</v>
      </c>
      <c r="O38" s="19">
        <v>6.4658464739580692</v>
      </c>
      <c r="P38" s="20">
        <v>5.024041685527707</v>
      </c>
      <c r="S38" s="81" t="s">
        <v>162</v>
      </c>
      <c r="T38" s="18">
        <v>71.584475478935374</v>
      </c>
      <c r="U38" s="19">
        <v>80.405960599945814</v>
      </c>
      <c r="V38" s="19">
        <v>68.379911674003836</v>
      </c>
      <c r="W38" s="19">
        <v>66.944410043913692</v>
      </c>
      <c r="X38" s="19">
        <v>66.37259196719728</v>
      </c>
      <c r="Y38" s="19">
        <v>68.504996878285553</v>
      </c>
      <c r="Z38" s="19">
        <v>77.624303914252437</v>
      </c>
      <c r="AA38" s="19">
        <v>92.324793636503458</v>
      </c>
      <c r="AB38" s="19">
        <v>75.342988045685942</v>
      </c>
      <c r="AC38" s="19">
        <v>74.288698466740072</v>
      </c>
      <c r="AD38" s="19">
        <v>75.313205854190301</v>
      </c>
      <c r="AE38" s="19">
        <v>64.680963490244579</v>
      </c>
      <c r="AF38" s="19">
        <v>57.05672246735913</v>
      </c>
      <c r="AG38" s="20">
        <v>44.333770260419044</v>
      </c>
    </row>
    <row r="39" spans="2:33" ht="16.5" thickBot="1">
      <c r="B39" s="82" t="s">
        <v>172</v>
      </c>
      <c r="C39" s="18">
        <v>2.8834399978258207</v>
      </c>
      <c r="D39" s="19">
        <v>3.2387715535572266</v>
      </c>
      <c r="E39" s="19">
        <v>2.7543593921651204</v>
      </c>
      <c r="F39" s="19">
        <v>2.6965370390717585</v>
      </c>
      <c r="G39" s="19">
        <v>2.673504068544942</v>
      </c>
      <c r="H39" s="19">
        <v>2.7593978544678612</v>
      </c>
      <c r="I39" s="19">
        <v>3.1267257490153177</v>
      </c>
      <c r="J39" s="19">
        <v>3.7188650329755548</v>
      </c>
      <c r="K39" s="19">
        <v>3.0348337936843732</v>
      </c>
      <c r="L39" s="19">
        <v>2.9923667542755563</v>
      </c>
      <c r="M39" s="19">
        <v>3.0336341598027685</v>
      </c>
      <c r="N39" s="19">
        <v>2.6053648640697773</v>
      </c>
      <c r="O39" s="19">
        <v>2.2982585903788926</v>
      </c>
      <c r="P39" s="20">
        <v>1.7857749961572291</v>
      </c>
      <c r="S39" s="82" t="s">
        <v>161</v>
      </c>
      <c r="T39" s="18">
        <v>43.338129644194474</v>
      </c>
      <c r="U39" s="19">
        <v>48.678766189630643</v>
      </c>
      <c r="V39" s="19">
        <v>41.398046955845601</v>
      </c>
      <c r="W39" s="19">
        <v>40.528976457904939</v>
      </c>
      <c r="X39" s="19">
        <v>40.182790699389159</v>
      </c>
      <c r="Y39" s="19">
        <v>41.473775090520931</v>
      </c>
      <c r="Z39" s="19">
        <v>46.994716718517417</v>
      </c>
      <c r="AA39" s="19">
        <v>55.894575593693979</v>
      </c>
      <c r="AB39" s="19">
        <v>45.61357978610549</v>
      </c>
      <c r="AC39" s="19">
        <v>44.975299793842019</v>
      </c>
      <c r="AD39" s="19">
        <v>45.595549277849457</v>
      </c>
      <c r="AE39" s="19">
        <v>39.158657830446643</v>
      </c>
      <c r="AF39" s="19">
        <v>34.542847716902877</v>
      </c>
      <c r="AG39" s="20">
        <v>26.840214589926731</v>
      </c>
    </row>
    <row r="40" spans="2:33">
      <c r="B40" s="81" t="s">
        <v>173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v>0</v>
      </c>
      <c r="S40" s="81" t="s">
        <v>160</v>
      </c>
      <c r="T40" s="18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20">
        <v>0</v>
      </c>
    </row>
    <row r="41" spans="2:33" ht="16.5" thickBot="1">
      <c r="B41" s="82" t="s">
        <v>174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3">
        <v>0</v>
      </c>
      <c r="S41" s="82" t="s">
        <v>159</v>
      </c>
      <c r="T41" s="21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3">
        <v>0</v>
      </c>
    </row>
    <row r="42" spans="2:33" ht="16.5" thickBot="1"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3" ht="24" customHeight="1" thickBot="1">
      <c r="B43" s="90" t="s">
        <v>66</v>
      </c>
      <c r="C43" s="92" t="s">
        <v>8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4"/>
      <c r="S43" s="90" t="s">
        <v>67</v>
      </c>
      <c r="T43" s="92" t="s">
        <v>8</v>
      </c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4"/>
    </row>
    <row r="44" spans="2:33" ht="16.5" thickBot="1">
      <c r="B44" s="91"/>
      <c r="C44" s="12">
        <v>0.29166666666666669</v>
      </c>
      <c r="D44" s="13">
        <v>0.33333333333333331</v>
      </c>
      <c r="E44" s="13">
        <v>0.375</v>
      </c>
      <c r="F44" s="13">
        <v>0.41666666666666702</v>
      </c>
      <c r="G44" s="13">
        <v>0.45833333333333398</v>
      </c>
      <c r="H44" s="13">
        <v>0.5</v>
      </c>
      <c r="I44" s="13">
        <v>0.54166666666666696</v>
      </c>
      <c r="J44" s="13">
        <v>0.58333333333333304</v>
      </c>
      <c r="K44" s="13">
        <v>0.625</v>
      </c>
      <c r="L44" s="13">
        <v>0.66666666666666696</v>
      </c>
      <c r="M44" s="13">
        <v>0.70833333333333304</v>
      </c>
      <c r="N44" s="13">
        <v>0.75</v>
      </c>
      <c r="O44" s="13">
        <v>0.79166666666666696</v>
      </c>
      <c r="P44" s="14">
        <v>0.83333333333333304</v>
      </c>
      <c r="S44" s="91"/>
      <c r="T44" s="12">
        <v>0.29166666666666669</v>
      </c>
      <c r="U44" s="13">
        <v>0.33333333333333331</v>
      </c>
      <c r="V44" s="13">
        <v>0.375</v>
      </c>
      <c r="W44" s="13">
        <v>0.41666666666666702</v>
      </c>
      <c r="X44" s="13">
        <v>0.45833333333333398</v>
      </c>
      <c r="Y44" s="13">
        <v>0.5</v>
      </c>
      <c r="Z44" s="13">
        <v>0.54166666666666696</v>
      </c>
      <c r="AA44" s="13">
        <v>0.58333333333333304</v>
      </c>
      <c r="AB44" s="13">
        <v>0.625</v>
      </c>
      <c r="AC44" s="13">
        <v>0.66666666666666696</v>
      </c>
      <c r="AD44" s="13">
        <v>0.70833333333333304</v>
      </c>
      <c r="AE44" s="13">
        <v>0.75</v>
      </c>
      <c r="AF44" s="13">
        <v>0.79166666666666696</v>
      </c>
      <c r="AG44" s="14">
        <v>0.83333333333333304</v>
      </c>
    </row>
    <row r="45" spans="2:33">
      <c r="B45" s="81" t="s">
        <v>159</v>
      </c>
      <c r="C45" s="15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7">
        <v>0</v>
      </c>
      <c r="S45" s="81" t="s">
        <v>174</v>
      </c>
      <c r="T45" s="15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7">
        <v>0</v>
      </c>
    </row>
    <row r="46" spans="2:33" ht="16.5" thickBot="1">
      <c r="B46" s="82" t="s">
        <v>160</v>
      </c>
      <c r="C46" s="18">
        <v>2.549134825036528</v>
      </c>
      <c r="D46" s="19">
        <v>2.8632693462446408</v>
      </c>
      <c r="E46" s="19">
        <v>2.4350197862722034</v>
      </c>
      <c r="F46" s="19">
        <v>2.3839013395394857</v>
      </c>
      <c r="G46" s="19">
        <v>2.3635388047413906</v>
      </c>
      <c r="H46" s="19">
        <v>2.4394740907592869</v>
      </c>
      <c r="I46" s="19">
        <v>2.7642140988414075</v>
      </c>
      <c r="J46" s="19">
        <v>3.2877009309424357</v>
      </c>
      <c r="K46" s="19">
        <v>2.6829760693865068</v>
      </c>
      <c r="L46" s="19">
        <v>2.6454326458525195</v>
      </c>
      <c r="M46" s="19">
        <v>2.6819155206991061</v>
      </c>
      <c r="N46" s="19">
        <v>2.303299639297026</v>
      </c>
      <c r="O46" s="19">
        <v>2.0317991753224249</v>
      </c>
      <c r="P46" s="20">
        <v>1.5787327760648096</v>
      </c>
      <c r="S46" s="82" t="s">
        <v>173</v>
      </c>
      <c r="T46" s="18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20">
        <v>0</v>
      </c>
    </row>
    <row r="47" spans="2:33">
      <c r="B47" s="81" t="s">
        <v>161</v>
      </c>
      <c r="C47" s="18">
        <v>62.0593197789389</v>
      </c>
      <c r="D47" s="19">
        <v>69.707002637368618</v>
      </c>
      <c r="E47" s="19">
        <v>59.281160847247342</v>
      </c>
      <c r="F47" s="19">
        <v>58.036669578589972</v>
      </c>
      <c r="G47" s="19">
        <v>57.540938616801142</v>
      </c>
      <c r="H47" s="19">
        <v>59.389601995138641</v>
      </c>
      <c r="I47" s="19">
        <v>67.295478062833396</v>
      </c>
      <c r="J47" s="19">
        <v>80.039894872154505</v>
      </c>
      <c r="K47" s="19">
        <v>65.317718079863369</v>
      </c>
      <c r="L47" s="19">
        <v>64.403714119065228</v>
      </c>
      <c r="M47" s="19">
        <v>65.291898758936881</v>
      </c>
      <c r="N47" s="19">
        <v>56.074401188175862</v>
      </c>
      <c r="O47" s="19">
        <v>49.464655030991487</v>
      </c>
      <c r="P47" s="20">
        <v>38.43464113119007</v>
      </c>
      <c r="S47" s="81" t="s">
        <v>172</v>
      </c>
      <c r="T47" s="18">
        <v>1.9528115278924834</v>
      </c>
      <c r="U47" s="19">
        <v>2.1934600445182748</v>
      </c>
      <c r="V47" s="19">
        <v>1.8653916076057337</v>
      </c>
      <c r="W47" s="19">
        <v>1.8262313830906654</v>
      </c>
      <c r="X47" s="19">
        <v>1.8106322895078997</v>
      </c>
      <c r="Y47" s="19">
        <v>1.8688039093269635</v>
      </c>
      <c r="Z47" s="19">
        <v>2.1175769538604463</v>
      </c>
      <c r="AA47" s="19">
        <v>2.5186036513840482</v>
      </c>
      <c r="AB47" s="19">
        <v>2.0553430700875368</v>
      </c>
      <c r="AC47" s="19">
        <v>2.0265822412943129</v>
      </c>
      <c r="AD47" s="19">
        <v>2.0545306172967681</v>
      </c>
      <c r="AE47" s="19">
        <v>1.7644849709922179</v>
      </c>
      <c r="AF47" s="19">
        <v>1.5564970565553415</v>
      </c>
      <c r="AG47" s="20">
        <v>1.2094172243388046</v>
      </c>
    </row>
    <row r="48" spans="2:33" ht="16.5" thickBot="1">
      <c r="B48" s="82" t="s">
        <v>162</v>
      </c>
      <c r="C48" s="18">
        <v>45.567782939880345</v>
      </c>
      <c r="D48" s="19">
        <v>51.183183716545571</v>
      </c>
      <c r="E48" s="19">
        <v>43.527887181712956</v>
      </c>
      <c r="F48" s="19">
        <v>42.614104881121243</v>
      </c>
      <c r="G48" s="19">
        <v>42.250108612005874</v>
      </c>
      <c r="H48" s="19">
        <v>43.607511365581935</v>
      </c>
      <c r="I48" s="19">
        <v>49.412493532411425</v>
      </c>
      <c r="J48" s="19">
        <v>58.770230950919057</v>
      </c>
      <c r="K48" s="19">
        <v>47.960300083753232</v>
      </c>
      <c r="L48" s="19">
        <v>47.289181962571782</v>
      </c>
      <c r="M48" s="19">
        <v>47.941341944736813</v>
      </c>
      <c r="N48" s="19">
        <v>41.173286315872907</v>
      </c>
      <c r="O48" s="19">
        <v>36.320002727667976</v>
      </c>
      <c r="P48" s="20">
        <v>28.221085739851006</v>
      </c>
      <c r="S48" s="82" t="s">
        <v>171</v>
      </c>
      <c r="T48" s="18">
        <v>4.1911589774301534</v>
      </c>
      <c r="U48" s="19">
        <v>4.7076431216782861</v>
      </c>
      <c r="V48" s="19">
        <v>4.0035367832333302</v>
      </c>
      <c r="W48" s="19">
        <v>3.9194904099964631</v>
      </c>
      <c r="X48" s="19">
        <v>3.8860113567568808</v>
      </c>
      <c r="Y48" s="19">
        <v>4.0108603261294888</v>
      </c>
      <c r="Z48" s="19">
        <v>4.5447814772732364</v>
      </c>
      <c r="AA48" s="19">
        <v>5.4054721376408201</v>
      </c>
      <c r="AB48" s="19">
        <v>4.4112140044528214</v>
      </c>
      <c r="AC48" s="19">
        <v>4.3494870000423429</v>
      </c>
      <c r="AD48" s="19">
        <v>4.4094703037632597</v>
      </c>
      <c r="AE48" s="19">
        <v>3.7869691575897848</v>
      </c>
      <c r="AF48" s="19">
        <v>3.3405817810620269</v>
      </c>
      <c r="AG48" s="20">
        <v>2.5956728464813308</v>
      </c>
    </row>
    <row r="49" spans="2:33">
      <c r="B49" s="81" t="s">
        <v>163</v>
      </c>
      <c r="C49" s="18">
        <v>33.029135630160013</v>
      </c>
      <c r="D49" s="19">
        <v>37.099376091823089</v>
      </c>
      <c r="E49" s="19">
        <v>31.550547265288476</v>
      </c>
      <c r="F49" s="19">
        <v>30.88820563715829</v>
      </c>
      <c r="G49" s="19">
        <v>30.624368308110583</v>
      </c>
      <c r="H49" s="19">
        <v>31.608261681017662</v>
      </c>
      <c r="I49" s="19">
        <v>35.815917418226427</v>
      </c>
      <c r="J49" s="19">
        <v>42.598735419161272</v>
      </c>
      <c r="K49" s="19">
        <v>34.763316407546505</v>
      </c>
      <c r="L49" s="19">
        <v>34.2768663321148</v>
      </c>
      <c r="M49" s="19">
        <v>34.749574879991947</v>
      </c>
      <c r="N49" s="19">
        <v>29.843849543011114</v>
      </c>
      <c r="O49" s="19">
        <v>26.326018489041669</v>
      </c>
      <c r="P49" s="20">
        <v>20.455637917730151</v>
      </c>
      <c r="S49" s="81" t="s">
        <v>170</v>
      </c>
      <c r="T49" s="18">
        <v>1.4892000316933578</v>
      </c>
      <c r="U49" s="19">
        <v>1.6727168603618434</v>
      </c>
      <c r="V49" s="19">
        <v>1.4225342289765142</v>
      </c>
      <c r="W49" s="19">
        <v>1.3926709232985228</v>
      </c>
      <c r="X49" s="19">
        <v>1.3807751666799037</v>
      </c>
      <c r="Y49" s="19">
        <v>1.4251364257368371</v>
      </c>
      <c r="Z49" s="19">
        <v>1.6148489609775203</v>
      </c>
      <c r="AA49" s="19">
        <v>1.9206690373811821</v>
      </c>
      <c r="AB49" s="19">
        <v>1.5673898486344884</v>
      </c>
      <c r="AC49" s="19">
        <v>1.5454570473689098</v>
      </c>
      <c r="AD49" s="19">
        <v>1.5667702779772685</v>
      </c>
      <c r="AE49" s="19">
        <v>1.3455835533498228</v>
      </c>
      <c r="AF49" s="19">
        <v>1.1869734651015704</v>
      </c>
      <c r="AG49" s="20">
        <v>0.92229288033729917</v>
      </c>
    </row>
    <row r="50" spans="2:33" ht="16.5" thickBot="1">
      <c r="B50" s="82" t="s">
        <v>164</v>
      </c>
      <c r="C50" s="18">
        <v>49.48569086916806</v>
      </c>
      <c r="D50" s="19">
        <v>55.583902566392034</v>
      </c>
      <c r="E50" s="19">
        <v>47.27040532351883</v>
      </c>
      <c r="F50" s="19">
        <v>46.278056222214992</v>
      </c>
      <c r="G50" s="19">
        <v>45.88276363414375</v>
      </c>
      <c r="H50" s="19">
        <v>47.356875577159407</v>
      </c>
      <c r="I50" s="19">
        <v>53.660968830670505</v>
      </c>
      <c r="J50" s="19">
        <v>63.823282449001901</v>
      </c>
      <c r="K50" s="19">
        <v>52.083916109511286</v>
      </c>
      <c r="L50" s="19">
        <v>51.355095400254946</v>
      </c>
      <c r="M50" s="19">
        <v>52.063327953882578</v>
      </c>
      <c r="N50" s="19">
        <v>44.713356394433006</v>
      </c>
      <c r="O50" s="19">
        <v>39.442788553483176</v>
      </c>
      <c r="P50" s="20">
        <v>30.647528468898141</v>
      </c>
      <c r="S50" s="82" t="s">
        <v>169</v>
      </c>
      <c r="T50" s="18">
        <v>5.2711948357603022</v>
      </c>
      <c r="U50" s="19">
        <v>5.9207737633490023</v>
      </c>
      <c r="V50" s="19">
        <v>5.0352235575410438</v>
      </c>
      <c r="W50" s="19">
        <v>4.9295189514985882</v>
      </c>
      <c r="X50" s="19">
        <v>4.8874125524111358</v>
      </c>
      <c r="Y50" s="19">
        <v>5.0444343323414227</v>
      </c>
      <c r="Z50" s="19">
        <v>5.7159436761215048</v>
      </c>
      <c r="AA50" s="19">
        <v>6.7984290193280641</v>
      </c>
      <c r="AB50" s="19">
        <v>5.5479566880955264</v>
      </c>
      <c r="AC50" s="19">
        <v>5.4703230147780397</v>
      </c>
      <c r="AD50" s="19">
        <v>5.5457636464763898</v>
      </c>
      <c r="AE50" s="19">
        <v>4.762847788444093</v>
      </c>
      <c r="AF50" s="19">
        <v>4.2014291339447434</v>
      </c>
      <c r="AG50" s="20">
        <v>3.2645617542489536</v>
      </c>
    </row>
    <row r="51" spans="2:33">
      <c r="B51" s="81" t="s">
        <v>165</v>
      </c>
      <c r="C51" s="18">
        <v>24.929892320268252</v>
      </c>
      <c r="D51" s="19">
        <v>28.002048296829845</v>
      </c>
      <c r="E51" s="19">
        <v>23.81387617213176</v>
      </c>
      <c r="F51" s="19">
        <v>23.313950722873596</v>
      </c>
      <c r="G51" s="19">
        <v>23.11481029495333</v>
      </c>
      <c r="H51" s="19">
        <v>23.857438140739319</v>
      </c>
      <c r="I51" s="19">
        <v>27.033313090176055</v>
      </c>
      <c r="J51" s="19">
        <v>32.152881591292889</v>
      </c>
      <c r="K51" s="19">
        <v>26.238825757952494</v>
      </c>
      <c r="L51" s="19">
        <v>25.871660593974507</v>
      </c>
      <c r="M51" s="19">
        <v>26.228453860664981</v>
      </c>
      <c r="N51" s="19">
        <v>22.52568652902254</v>
      </c>
      <c r="O51" s="19">
        <v>19.870480823419001</v>
      </c>
      <c r="P51" s="20">
        <v>15.439606302193093</v>
      </c>
      <c r="S51" s="81" t="s">
        <v>168</v>
      </c>
      <c r="T51" s="18">
        <v>5.0380112580133574</v>
      </c>
      <c r="U51" s="19">
        <v>5.6588545491697708</v>
      </c>
      <c r="V51" s="19">
        <v>4.8124787187546456</v>
      </c>
      <c r="W51" s="19">
        <v>4.711450202097863</v>
      </c>
      <c r="X51" s="19">
        <v>4.6712064776204718</v>
      </c>
      <c r="Y51" s="19">
        <v>4.8212820334840751</v>
      </c>
      <c r="Z51" s="19">
        <v>5.4630855978057973</v>
      </c>
      <c r="AA51" s="19">
        <v>6.497684681245385</v>
      </c>
      <c r="AB51" s="19">
        <v>5.3025299053595392</v>
      </c>
      <c r="AC51" s="19">
        <v>5.2283305383543519</v>
      </c>
      <c r="AD51" s="19">
        <v>5.3004338780430089</v>
      </c>
      <c r="AE51" s="19">
        <v>4.5521521260415252</v>
      </c>
      <c r="AF51" s="19">
        <v>4.0155691330096479</v>
      </c>
      <c r="AG51" s="20">
        <v>3.1201462633877033</v>
      </c>
    </row>
    <row r="52" spans="2:33" ht="16.5" thickBot="1">
      <c r="B52" s="82" t="s">
        <v>166</v>
      </c>
      <c r="C52" s="18">
        <v>17.676825651697399</v>
      </c>
      <c r="D52" s="19">
        <v>19.855173029810548</v>
      </c>
      <c r="E52" s="19">
        <v>16.885501621025639</v>
      </c>
      <c r="F52" s="19">
        <v>16.531023755984943</v>
      </c>
      <c r="G52" s="19">
        <v>16.389820954972883</v>
      </c>
      <c r="H52" s="19">
        <v>16.916389733747028</v>
      </c>
      <c r="I52" s="19">
        <v>19.168280237387293</v>
      </c>
      <c r="J52" s="19">
        <v>22.798368913405699</v>
      </c>
      <c r="K52" s="19">
        <v>18.604939895849594</v>
      </c>
      <c r="L52" s="19">
        <v>18.344597231483608</v>
      </c>
      <c r="M52" s="19">
        <v>18.59758558329688</v>
      </c>
      <c r="N52" s="19">
        <v>15.972096001978869</v>
      </c>
      <c r="O52" s="19">
        <v>14.089391988484721</v>
      </c>
      <c r="P52" s="20">
        <v>10.947629665966362</v>
      </c>
      <c r="S52" s="82" t="s">
        <v>167</v>
      </c>
      <c r="T52" s="18">
        <v>2.9314612782954845</v>
      </c>
      <c r="U52" s="19">
        <v>3.2927105837669113</v>
      </c>
      <c r="V52" s="19">
        <v>2.8002309431546144</v>
      </c>
      <c r="W52" s="19">
        <v>2.7414456071528499</v>
      </c>
      <c r="X52" s="19">
        <v>2.7180290417745532</v>
      </c>
      <c r="Y52" s="19">
        <v>2.8053533168311167</v>
      </c>
      <c r="Z52" s="19">
        <v>3.17879875010374</v>
      </c>
      <c r="AA52" s="19">
        <v>3.7807996183707777</v>
      </c>
      <c r="AB52" s="19">
        <v>3.0853764111465778</v>
      </c>
      <c r="AC52" s="19">
        <v>3.0422021187303447</v>
      </c>
      <c r="AD52" s="19">
        <v>3.0841567983664584</v>
      </c>
      <c r="AE52" s="19">
        <v>2.6487550358637595</v>
      </c>
      <c r="AF52" s="19">
        <v>2.3365341641531407</v>
      </c>
      <c r="AG52" s="20">
        <v>1.8155155844860451</v>
      </c>
    </row>
    <row r="53" spans="2:33">
      <c r="B53" s="81" t="s">
        <v>167</v>
      </c>
      <c r="C53" s="18">
        <v>89.60695046762892</v>
      </c>
      <c r="D53" s="19">
        <v>100.64937796326532</v>
      </c>
      <c r="E53" s="19">
        <v>85.595589230186363</v>
      </c>
      <c r="F53" s="19">
        <v>83.798678341294831</v>
      </c>
      <c r="G53" s="19">
        <v>83.082896410450061</v>
      </c>
      <c r="H53" s="19">
        <v>85.752166527558657</v>
      </c>
      <c r="I53" s="19">
        <v>97.167397112176729</v>
      </c>
      <c r="J53" s="19">
        <v>115.56895758431088</v>
      </c>
      <c r="K53" s="19">
        <v>94.311725450577299</v>
      </c>
      <c r="L53" s="19">
        <v>92.992002515582286</v>
      </c>
      <c r="M53" s="19">
        <v>94.274445141679138</v>
      </c>
      <c r="N53" s="19">
        <v>80.965374865034306</v>
      </c>
      <c r="O53" s="19">
        <v>71.421615787104116</v>
      </c>
      <c r="P53" s="20">
        <v>55.49546782580812</v>
      </c>
      <c r="S53" s="81" t="s">
        <v>166</v>
      </c>
      <c r="T53" s="18">
        <v>6.1617380077306505</v>
      </c>
      <c r="U53" s="19">
        <v>6.9210601902443036</v>
      </c>
      <c r="V53" s="19">
        <v>5.885900509964042</v>
      </c>
      <c r="W53" s="19">
        <v>5.7623376159830899</v>
      </c>
      <c r="X53" s="19">
        <v>5.7131175420321707</v>
      </c>
      <c r="Y53" s="19">
        <v>5.8966674011408058</v>
      </c>
      <c r="Z53" s="19">
        <v>6.6816250388372298</v>
      </c>
      <c r="AA53" s="19">
        <v>7.9469911066587695</v>
      </c>
      <c r="AB53" s="19">
        <v>6.4852574521372102</v>
      </c>
      <c r="AC53" s="19">
        <v>6.3945079407902039</v>
      </c>
      <c r="AD53" s="19">
        <v>6.4826939066189331</v>
      </c>
      <c r="AE53" s="19">
        <v>5.5675081565940365</v>
      </c>
      <c r="AF53" s="19">
        <v>4.9112405039151188</v>
      </c>
      <c r="AG53" s="20">
        <v>3.8160938585071751</v>
      </c>
    </row>
    <row r="54" spans="2:33" ht="16.5" thickBot="1">
      <c r="B54" s="82" t="s">
        <v>168</v>
      </c>
      <c r="C54" s="18">
        <v>46.094639542443389</v>
      </c>
      <c r="D54" s="19">
        <v>51.774965816562101</v>
      </c>
      <c r="E54" s="19">
        <v>44.031158424633887</v>
      </c>
      <c r="F54" s="19">
        <v>43.106810935057517</v>
      </c>
      <c r="G54" s="19">
        <v>42.738606125931661</v>
      </c>
      <c r="H54" s="19">
        <v>44.111703226630169</v>
      </c>
      <c r="I54" s="19">
        <v>49.983802838835267</v>
      </c>
      <c r="J54" s="19">
        <v>59.449734806779212</v>
      </c>
      <c r="K54" s="19">
        <v>48.514819069093562</v>
      </c>
      <c r="L54" s="19">
        <v>47.835941452267768</v>
      </c>
      <c r="M54" s="19">
        <v>48.49564173528492</v>
      </c>
      <c r="N54" s="19">
        <v>41.649333565600998</v>
      </c>
      <c r="O54" s="19">
        <v>36.739936110589554</v>
      </c>
      <c r="P54" s="20">
        <v>28.547379107539204</v>
      </c>
      <c r="S54" s="82" t="s">
        <v>165</v>
      </c>
      <c r="T54" s="18">
        <v>1.552153111061555</v>
      </c>
      <c r="U54" s="19">
        <v>1.7434277622083483</v>
      </c>
      <c r="V54" s="19">
        <v>1.4826691392067441</v>
      </c>
      <c r="W54" s="19">
        <v>1.4515434194725259</v>
      </c>
      <c r="X54" s="19">
        <v>1.4391447925244554</v>
      </c>
      <c r="Y54" s="19">
        <v>1.4853813388516344</v>
      </c>
      <c r="Z54" s="19">
        <v>1.6831136082005478</v>
      </c>
      <c r="AA54" s="19">
        <v>2.0018616426571896</v>
      </c>
      <c r="AB54" s="19">
        <v>1.6336482527723086</v>
      </c>
      <c r="AC54" s="19">
        <v>1.6107882843368044</v>
      </c>
      <c r="AD54" s="19">
        <v>1.6330024909520968</v>
      </c>
      <c r="AE54" s="19">
        <v>1.4024655211364141</v>
      </c>
      <c r="AF54" s="19">
        <v>1.237150495162143</v>
      </c>
      <c r="AG54" s="20">
        <v>0.9612810455675781</v>
      </c>
    </row>
    <row r="55" spans="2:33">
      <c r="B55" s="81" t="s">
        <v>169</v>
      </c>
      <c r="C55" s="18">
        <v>12.968001476566297</v>
      </c>
      <c r="D55" s="19">
        <v>14.566071886517593</v>
      </c>
      <c r="E55" s="19">
        <v>12.387473535611672</v>
      </c>
      <c r="F55" s="19">
        <v>12.127422915221217</v>
      </c>
      <c r="G55" s="19">
        <v>12.02383428635199</v>
      </c>
      <c r="H55" s="19">
        <v>12.410133548176816</v>
      </c>
      <c r="I55" s="19">
        <v>14.062156368997501</v>
      </c>
      <c r="J55" s="19">
        <v>16.725247369510534</v>
      </c>
      <c r="K55" s="19">
        <v>13.648880901737982</v>
      </c>
      <c r="L55" s="19">
        <v>13.457889367260346</v>
      </c>
      <c r="M55" s="19">
        <v>13.643485660651045</v>
      </c>
      <c r="N55" s="19">
        <v>11.717384592613863</v>
      </c>
      <c r="O55" s="19">
        <v>10.336202874357509</v>
      </c>
      <c r="P55" s="20">
        <v>8.0313558820172197</v>
      </c>
      <c r="S55" s="81" t="s">
        <v>164</v>
      </c>
      <c r="T55" s="18">
        <v>7.5399777480895844</v>
      </c>
      <c r="U55" s="19">
        <v>8.4691429207406621</v>
      </c>
      <c r="V55" s="19">
        <v>7.2024417164310552</v>
      </c>
      <c r="W55" s="19">
        <v>7.0512406316174765</v>
      </c>
      <c r="X55" s="19">
        <v>6.9910111538494117</v>
      </c>
      <c r="Y55" s="19">
        <v>7.2156169146928191</v>
      </c>
      <c r="Z55" s="19">
        <v>8.1761516070147664</v>
      </c>
      <c r="AA55" s="19">
        <v>9.7245510979687584</v>
      </c>
      <c r="AB55" s="19">
        <v>7.9358610863359242</v>
      </c>
      <c r="AC55" s="19">
        <v>7.8248129867010565</v>
      </c>
      <c r="AD55" s="19">
        <v>7.9327241343688382</v>
      </c>
      <c r="AE55" s="19">
        <v>6.8128322821188876</v>
      </c>
      <c r="AF55" s="19">
        <v>6.0097725785446929</v>
      </c>
      <c r="AG55" s="20">
        <v>4.6696666982052566</v>
      </c>
    </row>
    <row r="56" spans="2:33" ht="16.5" thickBot="1">
      <c r="B56" s="82" t="s">
        <v>170</v>
      </c>
      <c r="C56" s="18">
        <v>24.593054030332667</v>
      </c>
      <c r="D56" s="19">
        <v>27.623700811737439</v>
      </c>
      <c r="E56" s="19">
        <v>23.492116847080954</v>
      </c>
      <c r="F56" s="19">
        <v>22.998946101423595</v>
      </c>
      <c r="G56" s="19">
        <v>22.802496343817342</v>
      </c>
      <c r="H56" s="19">
        <v>23.535090231557323</v>
      </c>
      <c r="I56" s="19">
        <v>26.668054595048694</v>
      </c>
      <c r="J56" s="19">
        <v>31.718450446842755</v>
      </c>
      <c r="K56" s="19">
        <v>25.884301916265418</v>
      </c>
      <c r="L56" s="19">
        <v>25.5220976756789</v>
      </c>
      <c r="M56" s="19">
        <v>25.87407015805676</v>
      </c>
      <c r="N56" s="19">
        <v>22.221332477565515</v>
      </c>
      <c r="O56" s="19">
        <v>19.602002376148825</v>
      </c>
      <c r="P56" s="20">
        <v>15.230995269409719</v>
      </c>
      <c r="S56" s="82" t="s">
        <v>163</v>
      </c>
      <c r="T56" s="18">
        <v>10.879379144421854</v>
      </c>
      <c r="U56" s="19">
        <v>12.22006482530792</v>
      </c>
      <c r="V56" s="19">
        <v>10.392350855214085</v>
      </c>
      <c r="W56" s="19">
        <v>10.17418390781804</v>
      </c>
      <c r="X56" s="19">
        <v>10.087279231676877</v>
      </c>
      <c r="Y56" s="19">
        <v>10.411361253119965</v>
      </c>
      <c r="Z56" s="19">
        <v>11.797309786162888</v>
      </c>
      <c r="AA56" s="19">
        <v>14.03148416862529</v>
      </c>
      <c r="AB56" s="19">
        <v>11.450596338641374</v>
      </c>
      <c r="AC56" s="19">
        <v>11.290365842006105</v>
      </c>
      <c r="AD56" s="19">
        <v>11.446070053425688</v>
      </c>
      <c r="AE56" s="19">
        <v>9.8301862314259374</v>
      </c>
      <c r="AF56" s="19">
        <v>8.6714572162104275</v>
      </c>
      <c r="AG56" s="20">
        <v>6.737828172069551</v>
      </c>
    </row>
    <row r="57" spans="2:33">
      <c r="B57" s="81" t="s">
        <v>171</v>
      </c>
      <c r="C57" s="18">
        <v>57.608722354911059</v>
      </c>
      <c r="D57" s="19">
        <v>64.707949997415895</v>
      </c>
      <c r="E57" s="19">
        <v>55.029799686668241</v>
      </c>
      <c r="F57" s="19">
        <v>53.874557376172845</v>
      </c>
      <c r="G57" s="19">
        <v>53.414377866597917</v>
      </c>
      <c r="H57" s="19">
        <v>55.13046395438775</v>
      </c>
      <c r="I57" s="19">
        <v>62.469368424796201</v>
      </c>
      <c r="J57" s="19">
        <v>74.29981665011826</v>
      </c>
      <c r="K57" s="19">
        <v>60.633443923054571</v>
      </c>
      <c r="L57" s="19">
        <v>59.784987952275813</v>
      </c>
      <c r="M57" s="19">
        <v>60.609476240264215</v>
      </c>
      <c r="N57" s="19">
        <v>52.053013484105435</v>
      </c>
      <c r="O57" s="19">
        <v>45.917286689773086</v>
      </c>
      <c r="P57" s="20">
        <v>35.67829260173098</v>
      </c>
      <c r="S57" s="81" t="s">
        <v>162</v>
      </c>
      <c r="T57" s="18">
        <v>25.208720675499915</v>
      </c>
      <c r="U57" s="19">
        <v>28.315237177448271</v>
      </c>
      <c r="V57" s="19">
        <v>24.080222445892741</v>
      </c>
      <c r="W57" s="19">
        <v>23.57470558095719</v>
      </c>
      <c r="X57" s="19">
        <v>23.37333786712394</v>
      </c>
      <c r="Y57" s="19">
        <v>24.124271633293766</v>
      </c>
      <c r="Z57" s="19">
        <v>27.335667152863607</v>
      </c>
      <c r="AA57" s="19">
        <v>32.512495462660063</v>
      </c>
      <c r="AB57" s="19">
        <v>26.532293877883038</v>
      </c>
      <c r="AC57" s="19">
        <v>26.161022155502991</v>
      </c>
      <c r="AD57" s="19">
        <v>26.521805976120895</v>
      </c>
      <c r="AE57" s="19">
        <v>22.777625047033911</v>
      </c>
      <c r="AF57" s="19">
        <v>20.092722195923919</v>
      </c>
      <c r="AG57" s="20">
        <v>15.61229056313412</v>
      </c>
    </row>
    <row r="58" spans="2:33" ht="16.5" thickBot="1">
      <c r="B58" s="82" t="s">
        <v>172</v>
      </c>
      <c r="C58" s="18">
        <v>27.458261313308086</v>
      </c>
      <c r="D58" s="19">
        <v>30.841992799829079</v>
      </c>
      <c r="E58" s="19">
        <v>26.229059733464538</v>
      </c>
      <c r="F58" s="19">
        <v>25.678432259965849</v>
      </c>
      <c r="G58" s="19">
        <v>25.459095175086702</v>
      </c>
      <c r="H58" s="19">
        <v>26.27703972078185</v>
      </c>
      <c r="I58" s="19">
        <v>29.775009272344068</v>
      </c>
      <c r="J58" s="19">
        <v>35.413800162778777</v>
      </c>
      <c r="K58" s="19">
        <v>28.899945694128306</v>
      </c>
      <c r="L58" s="19">
        <v>28.495542943882384</v>
      </c>
      <c r="M58" s="19">
        <v>28.888521887624183</v>
      </c>
      <c r="N58" s="19">
        <v>24.810222965652564</v>
      </c>
      <c r="O58" s="19">
        <v>21.885728500597285</v>
      </c>
      <c r="P58" s="20">
        <v>17.005478362036285</v>
      </c>
      <c r="S58" s="82" t="s">
        <v>161</v>
      </c>
      <c r="T58" s="18">
        <v>75.612539491206547</v>
      </c>
      <c r="U58" s="19">
        <v>84.930410267248888</v>
      </c>
      <c r="V58" s="19">
        <v>72.227654631307303</v>
      </c>
      <c r="W58" s="19">
        <v>70.711377212653559</v>
      </c>
      <c r="X58" s="19">
        <v>70.107382888210566</v>
      </c>
      <c r="Y58" s="19">
        <v>72.359778389779194</v>
      </c>
      <c r="Z58" s="19">
        <v>81.992229543135608</v>
      </c>
      <c r="AA58" s="19">
        <v>97.519916967357432</v>
      </c>
      <c r="AB58" s="19">
        <v>79.582543852909936</v>
      </c>
      <c r="AC58" s="19">
        <v>78.468929317218183</v>
      </c>
      <c r="AD58" s="19">
        <v>79.551085815178538</v>
      </c>
      <c r="AE58" s="19">
        <v>68.320566345066723</v>
      </c>
      <c r="AF58" s="19">
        <v>60.26730868582689</v>
      </c>
      <c r="AG58" s="20">
        <v>46.828434966970413</v>
      </c>
    </row>
    <row r="59" spans="2:33">
      <c r="B59" s="81" t="s">
        <v>173</v>
      </c>
      <c r="C59" s="18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v>0</v>
      </c>
      <c r="S59" s="81" t="s">
        <v>160</v>
      </c>
      <c r="T59" s="18">
        <v>158.16244036310471</v>
      </c>
      <c r="U59" s="19">
        <v>177.65308557676406</v>
      </c>
      <c r="V59" s="19">
        <v>151.08211144686652</v>
      </c>
      <c r="W59" s="19">
        <v>147.9104399434959</v>
      </c>
      <c r="X59" s="19">
        <v>146.64703552721548</v>
      </c>
      <c r="Y59" s="19">
        <v>151.35848116292786</v>
      </c>
      <c r="Z59" s="19">
        <v>171.5071495100666</v>
      </c>
      <c r="AA59" s="19">
        <v>203.98717137860899</v>
      </c>
      <c r="AB59" s="19">
        <v>166.46669230761452</v>
      </c>
      <c r="AC59" s="19">
        <v>164.13729041509751</v>
      </c>
      <c r="AD59" s="19">
        <v>166.40088999426661</v>
      </c>
      <c r="AE59" s="19">
        <v>142.90946412905259</v>
      </c>
      <c r="AF59" s="19">
        <v>126.06407191198036</v>
      </c>
      <c r="AG59" s="20">
        <v>97.95332364974108</v>
      </c>
    </row>
    <row r="60" spans="2:33" ht="16.5" thickBot="1">
      <c r="B60" s="82" t="s">
        <v>174</v>
      </c>
      <c r="C60" s="21">
        <v>115.84821469089441</v>
      </c>
      <c r="D60" s="22">
        <v>130.12440090800328</v>
      </c>
      <c r="E60" s="22">
        <v>110.66213218933829</v>
      </c>
      <c r="F60" s="22">
        <v>108.33899857804644</v>
      </c>
      <c r="G60" s="22">
        <v>107.41360095695093</v>
      </c>
      <c r="H60" s="22">
        <v>110.86456291895296</v>
      </c>
      <c r="I60" s="22">
        <v>125.62272706371574</v>
      </c>
      <c r="J60" s="22">
        <v>149.41315757271286</v>
      </c>
      <c r="K60" s="22">
        <v>121.93077613788678</v>
      </c>
      <c r="L60" s="22">
        <v>120.22457427399193</v>
      </c>
      <c r="M60" s="22">
        <v>121.88257834512139</v>
      </c>
      <c r="N60" s="22">
        <v>104.67596632787672</v>
      </c>
      <c r="O60" s="22">
        <v>92.337331379936558</v>
      </c>
      <c r="P60" s="23">
        <v>71.74723431056141</v>
      </c>
      <c r="S60" s="82" t="s">
        <v>159</v>
      </c>
      <c r="T60" s="21">
        <v>263.83844711020788</v>
      </c>
      <c r="U60" s="22">
        <v>296.35173885344449</v>
      </c>
      <c r="V60" s="22">
        <v>252.02740662549394</v>
      </c>
      <c r="W60" s="22">
        <v>246.73658737490646</v>
      </c>
      <c r="X60" s="22">
        <v>244.62904111741102</v>
      </c>
      <c r="Y60" s="22">
        <v>252.48843236932103</v>
      </c>
      <c r="Z60" s="22">
        <v>286.0994044550032</v>
      </c>
      <c r="AA60" s="22">
        <v>340.28090615811465</v>
      </c>
      <c r="AB60" s="22">
        <v>277.69117303187045</v>
      </c>
      <c r="AC60" s="22">
        <v>273.80538461961328</v>
      </c>
      <c r="AD60" s="22">
        <v>277.58140499762584</v>
      </c>
      <c r="AE60" s="22">
        <v>238.39421677232045</v>
      </c>
      <c r="AF60" s="22">
        <v>210.29360000571484</v>
      </c>
      <c r="AG60" s="23">
        <v>163.40069577644175</v>
      </c>
    </row>
    <row r="61" spans="2:33" ht="16.5" thickBot="1"/>
    <row r="62" spans="2:33" ht="16.5" thickBot="1">
      <c r="B62" s="90" t="s">
        <v>66</v>
      </c>
      <c r="C62" s="92" t="s">
        <v>41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4"/>
      <c r="S62" s="90" t="s">
        <v>67</v>
      </c>
      <c r="T62" s="92" t="s">
        <v>41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4"/>
    </row>
    <row r="63" spans="2:33" ht="16.5" thickBot="1">
      <c r="B63" s="91"/>
      <c r="C63" s="12">
        <v>0.29166666666666669</v>
      </c>
      <c r="D63" s="13">
        <v>0.33333333333333331</v>
      </c>
      <c r="E63" s="13">
        <v>0.375</v>
      </c>
      <c r="F63" s="13">
        <v>0.41666666666666702</v>
      </c>
      <c r="G63" s="13">
        <v>0.45833333333333398</v>
      </c>
      <c r="H63" s="13">
        <v>0.5</v>
      </c>
      <c r="I63" s="13">
        <v>0.54166666666666696</v>
      </c>
      <c r="J63" s="13">
        <v>0.58333333333333304</v>
      </c>
      <c r="K63" s="13">
        <v>0.625</v>
      </c>
      <c r="L63" s="13">
        <v>0.66666666666666696</v>
      </c>
      <c r="M63" s="13">
        <v>0.70833333333333304</v>
      </c>
      <c r="N63" s="13">
        <v>0.75</v>
      </c>
      <c r="O63" s="13">
        <v>0.79166666666666696</v>
      </c>
      <c r="P63" s="14">
        <v>0.83333333333333304</v>
      </c>
      <c r="S63" s="91"/>
      <c r="T63" s="12">
        <v>0.29166666666666669</v>
      </c>
      <c r="U63" s="13">
        <v>0.33333333333333331</v>
      </c>
      <c r="V63" s="13">
        <v>0.375</v>
      </c>
      <c r="W63" s="13">
        <v>0.41666666666666702</v>
      </c>
      <c r="X63" s="13">
        <v>0.45833333333333398</v>
      </c>
      <c r="Y63" s="13">
        <v>0.5</v>
      </c>
      <c r="Z63" s="13">
        <v>0.54166666666666696</v>
      </c>
      <c r="AA63" s="13">
        <v>0.58333333333333304</v>
      </c>
      <c r="AB63" s="13">
        <v>0.625</v>
      </c>
      <c r="AC63" s="13">
        <v>0.66666666666666696</v>
      </c>
      <c r="AD63" s="13">
        <v>0.70833333333333304</v>
      </c>
      <c r="AE63" s="13">
        <v>0.75</v>
      </c>
      <c r="AF63" s="13">
        <v>0.79166666666666696</v>
      </c>
      <c r="AG63" s="14">
        <v>0.83333333333333304</v>
      </c>
    </row>
    <row r="64" spans="2:33">
      <c r="B64" s="81" t="s">
        <v>159</v>
      </c>
      <c r="C64" s="15">
        <f>C26-C45</f>
        <v>250.37634362364733</v>
      </c>
      <c r="D64" s="16">
        <f t="shared" ref="D64:P64" si="0">D26-D45</f>
        <v>281.2306758675</v>
      </c>
      <c r="E64" s="16">
        <f t="shared" si="0"/>
        <v>239.16795014141047</v>
      </c>
      <c r="F64" s="16">
        <f t="shared" si="0"/>
        <v>234.14708986405162</v>
      </c>
      <c r="G64" s="16">
        <f t="shared" si="0"/>
        <v>232.14707913116175</v>
      </c>
      <c r="H64" s="16">
        <f t="shared" si="0"/>
        <v>239.60545248923012</v>
      </c>
      <c r="I64" s="16">
        <f t="shared" si="0"/>
        <v>271.50145698979628</v>
      </c>
      <c r="J64" s="16">
        <f t="shared" si="0"/>
        <v>322.91839958117271</v>
      </c>
      <c r="K64" s="16">
        <f t="shared" si="0"/>
        <v>263.52224750337115</v>
      </c>
      <c r="L64" s="16">
        <f t="shared" si="0"/>
        <v>259.83472771460555</v>
      </c>
      <c r="M64" s="16">
        <f t="shared" si="0"/>
        <v>263.41808027769986</v>
      </c>
      <c r="N64" s="16">
        <f t="shared" si="0"/>
        <v>226.23038071302932</v>
      </c>
      <c r="O64" s="16">
        <f t="shared" si="0"/>
        <v>199.56357094116473</v>
      </c>
      <c r="P64" s="17">
        <f t="shared" si="0"/>
        <v>155.06333213436571</v>
      </c>
      <c r="S64" s="81" t="s">
        <v>174</v>
      </c>
      <c r="T64" s="15">
        <f>T26-T45</f>
        <v>104.60854257033458</v>
      </c>
      <c r="U64" s="16">
        <f t="shared" ref="U64:AG64" si="1">U26-U45</f>
        <v>117.49964354775723</v>
      </c>
      <c r="V64" s="16">
        <f t="shared" si="1"/>
        <v>99.925617299670563</v>
      </c>
      <c r="W64" s="16">
        <f t="shared" si="1"/>
        <v>97.827875682142647</v>
      </c>
      <c r="X64" s="16">
        <f t="shared" si="1"/>
        <v>96.992260763957233</v>
      </c>
      <c r="Y64" s="16">
        <f t="shared" si="1"/>
        <v>100.10840806302362</v>
      </c>
      <c r="Z64" s="16">
        <f t="shared" si="1"/>
        <v>113.43472514366783</v>
      </c>
      <c r="AA64" s="16">
        <f t="shared" si="1"/>
        <v>134.91699199868413</v>
      </c>
      <c r="AB64" s="16">
        <f t="shared" si="1"/>
        <v>110.10096979299067</v>
      </c>
      <c r="AC64" s="16">
        <f t="shared" si="1"/>
        <v>108.56030478758636</v>
      </c>
      <c r="AD64" s="16">
        <f t="shared" si="1"/>
        <v>110.05744818266852</v>
      </c>
      <c r="AE64" s="16">
        <f t="shared" si="1"/>
        <v>94.520233297658763</v>
      </c>
      <c r="AF64" s="16">
        <f t="shared" si="1"/>
        <v>83.378701055186795</v>
      </c>
      <c r="AG64" s="17">
        <f t="shared" si="1"/>
        <v>64.786269125561674</v>
      </c>
    </row>
    <row r="65" spans="2:33" ht="16.5" thickBot="1">
      <c r="B65" s="82" t="s">
        <v>160</v>
      </c>
      <c r="C65" s="18">
        <f>C64+C27-C46</f>
        <v>405.07791405822366</v>
      </c>
      <c r="D65" s="19">
        <f t="shared" ref="D65:P65" si="2">D64+D27-D46</f>
        <v>454.99640221933436</v>
      </c>
      <c r="E65" s="19">
        <f t="shared" si="2"/>
        <v>386.94412159996733</v>
      </c>
      <c r="F65" s="19">
        <f t="shared" si="2"/>
        <v>378.82099152108304</v>
      </c>
      <c r="G65" s="19">
        <f t="shared" si="2"/>
        <v>375.58522186310415</v>
      </c>
      <c r="H65" s="19">
        <f t="shared" si="2"/>
        <v>387.65194621265016</v>
      </c>
      <c r="I65" s="19">
        <f t="shared" si="2"/>
        <v>439.2557310706249</v>
      </c>
      <c r="J65" s="19">
        <f t="shared" si="2"/>
        <v>522.44197602783038</v>
      </c>
      <c r="K65" s="19">
        <f t="shared" si="2"/>
        <v>426.34635837264688</v>
      </c>
      <c r="L65" s="19">
        <f t="shared" si="2"/>
        <v>420.38040806574855</v>
      </c>
      <c r="M65" s="19">
        <f t="shared" si="2"/>
        <v>426.17782870296054</v>
      </c>
      <c r="N65" s="19">
        <f t="shared" si="2"/>
        <v>366.01273662491678</v>
      </c>
      <c r="O65" s="19">
        <f t="shared" si="2"/>
        <v>322.86914118519923</v>
      </c>
      <c r="P65" s="20">
        <f t="shared" si="2"/>
        <v>250.87326629517045</v>
      </c>
      <c r="S65" s="82" t="s">
        <v>173</v>
      </c>
      <c r="T65" s="18">
        <f>T64+T27-T46</f>
        <v>104.60854257033458</v>
      </c>
      <c r="U65" s="19">
        <f t="shared" ref="U65:U79" si="3">U64+U27-U46</f>
        <v>117.49964354775723</v>
      </c>
      <c r="V65" s="19">
        <f t="shared" ref="V65:V79" si="4">V64+V27-V46</f>
        <v>99.925617299670563</v>
      </c>
      <c r="W65" s="19">
        <f t="shared" ref="W65:W79" si="5">W64+W27-W46</f>
        <v>97.827875682142647</v>
      </c>
      <c r="X65" s="19">
        <f t="shared" ref="X65:X79" si="6">X64+X27-X46</f>
        <v>96.992260763957233</v>
      </c>
      <c r="Y65" s="19">
        <f t="shared" ref="Y65:Y79" si="7">Y64+Y27-Y46</f>
        <v>100.10840806302362</v>
      </c>
      <c r="Z65" s="19">
        <f t="shared" ref="Z65:Z79" si="8">Z64+Z27-Z46</f>
        <v>113.43472514366783</v>
      </c>
      <c r="AA65" s="19">
        <f t="shared" ref="AA65:AA79" si="9">AA64+AA27-AA46</f>
        <v>134.91699199868413</v>
      </c>
      <c r="AB65" s="19">
        <f t="shared" ref="AB65:AB79" si="10">AB64+AB27-AB46</f>
        <v>110.10096979299067</v>
      </c>
      <c r="AC65" s="19">
        <f t="shared" ref="AC65:AC79" si="11">AC64+AC27-AC46</f>
        <v>108.56030478758636</v>
      </c>
      <c r="AD65" s="19">
        <f t="shared" ref="AD65:AD79" si="12">AD64+AD27-AD46</f>
        <v>110.05744818266852</v>
      </c>
      <c r="AE65" s="19">
        <f t="shared" ref="AE65:AE79" si="13">AE64+AE27-AE46</f>
        <v>94.520233297658763</v>
      </c>
      <c r="AF65" s="19">
        <f t="shared" ref="AF65:AF79" si="14">AF64+AF27-AF46</f>
        <v>83.378701055186795</v>
      </c>
      <c r="AG65" s="20">
        <f t="shared" ref="AG65:AG79" si="15">AG64+AG27-AG46</f>
        <v>64.786269125561674</v>
      </c>
    </row>
    <row r="66" spans="2:33">
      <c r="B66" s="81" t="s">
        <v>161</v>
      </c>
      <c r="C66" s="18">
        <f>C65+C28-C47</f>
        <v>453.9632912108454</v>
      </c>
      <c r="D66" s="19">
        <f t="shared" ref="D66:P67" si="16">D65+D28-D47</f>
        <v>509.90601331795642</v>
      </c>
      <c r="E66" s="19">
        <f t="shared" si="16"/>
        <v>433.64108696126681</v>
      </c>
      <c r="F66" s="19">
        <f t="shared" si="16"/>
        <v>424.53764602418801</v>
      </c>
      <c r="G66" s="19">
        <f t="shared" si="16"/>
        <v>420.9113790948951</v>
      </c>
      <c r="H66" s="19">
        <f t="shared" si="16"/>
        <v>434.43433285204958</v>
      </c>
      <c r="I66" s="19">
        <f t="shared" si="16"/>
        <v>492.26573565150073</v>
      </c>
      <c r="J66" s="19">
        <f t="shared" si="16"/>
        <v>585.49101462540375</v>
      </c>
      <c r="K66" s="19">
        <f t="shared" si="16"/>
        <v>477.7984415481763</v>
      </c>
      <c r="L66" s="19">
        <f t="shared" si="16"/>
        <v>471.11251189729279</v>
      </c>
      <c r="M66" s="19">
        <f t="shared" si="16"/>
        <v>477.60957347894237</v>
      </c>
      <c r="N66" s="19">
        <f t="shared" si="16"/>
        <v>410.18367276240389</v>
      </c>
      <c r="O66" s="19">
        <f t="shared" si="16"/>
        <v>361.83344703849957</v>
      </c>
      <c r="P66" s="20">
        <f t="shared" si="16"/>
        <v>281.14900786173422</v>
      </c>
      <c r="S66" s="81" t="s">
        <v>172</v>
      </c>
      <c r="T66" s="18">
        <f>T65+T28-T47</f>
        <v>151.858552307411</v>
      </c>
      <c r="U66" s="19">
        <f t="shared" si="3"/>
        <v>170.57235792958406</v>
      </c>
      <c r="V66" s="19">
        <f t="shared" si="4"/>
        <v>145.06042440415027</v>
      </c>
      <c r="W66" s="19">
        <f t="shared" si="5"/>
        <v>142.01516636570082</v>
      </c>
      <c r="X66" s="19">
        <f t="shared" si="6"/>
        <v>140.80211752050928</v>
      </c>
      <c r="Y66" s="19">
        <f t="shared" si="7"/>
        <v>145.32577883903593</v>
      </c>
      <c r="Z66" s="19">
        <f t="shared" si="8"/>
        <v>164.67138073474624</v>
      </c>
      <c r="AA66" s="19">
        <f t="shared" si="9"/>
        <v>195.85684479654441</v>
      </c>
      <c r="AB66" s="19">
        <f t="shared" si="10"/>
        <v>159.83182127945096</v>
      </c>
      <c r="AC66" s="19">
        <f t="shared" si="11"/>
        <v>157.59526247112916</v>
      </c>
      <c r="AD66" s="19">
        <f t="shared" si="12"/>
        <v>159.76864165209724</v>
      </c>
      <c r="AE66" s="19">
        <f t="shared" si="13"/>
        <v>137.21351468681777</v>
      </c>
      <c r="AF66" s="19">
        <f t="shared" si="14"/>
        <v>121.03953008426444</v>
      </c>
      <c r="AG66" s="20">
        <f t="shared" si="15"/>
        <v>94.049193278753535</v>
      </c>
    </row>
    <row r="67" spans="2:33" ht="16.5" thickBot="1">
      <c r="B67" s="82" t="s">
        <v>162</v>
      </c>
      <c r="C67" s="18">
        <f t="shared" ref="C67:C78" si="17">C66+C29-C48</f>
        <v>433.99120180229374</v>
      </c>
      <c r="D67" s="19">
        <f t="shared" si="16"/>
        <v>487.4727270035915</v>
      </c>
      <c r="E67" s="19">
        <f t="shared" si="16"/>
        <v>414.56307178318622</v>
      </c>
      <c r="F67" s="19">
        <f t="shared" si="16"/>
        <v>405.86013621700619</v>
      </c>
      <c r="G67" s="19">
        <f t="shared" si="16"/>
        <v>402.39340669686794</v>
      </c>
      <c r="H67" s="19">
        <f t="shared" si="16"/>
        <v>415.3214188657164</v>
      </c>
      <c r="I67" s="19">
        <f t="shared" si="16"/>
        <v>470.60853235875288</v>
      </c>
      <c r="J67" s="19">
        <f t="shared" si="16"/>
        <v>559.73237043897086</v>
      </c>
      <c r="K67" s="19">
        <f t="shared" si="16"/>
        <v>456.77772604403509</v>
      </c>
      <c r="L67" s="19">
        <f t="shared" si="16"/>
        <v>450.3859434912805</v>
      </c>
      <c r="M67" s="19">
        <f t="shared" si="16"/>
        <v>456.59716721486132</v>
      </c>
      <c r="N67" s="19">
        <f t="shared" si="16"/>
        <v>392.13766519979265</v>
      </c>
      <c r="O67" s="19">
        <f t="shared" si="16"/>
        <v>345.91460493128409</v>
      </c>
      <c r="P67" s="20">
        <f t="shared" si="16"/>
        <v>268.77987310821038</v>
      </c>
      <c r="S67" s="82" t="s">
        <v>171</v>
      </c>
      <c r="T67" s="18">
        <f t="shared" ref="T67" si="18">T66+T29-T48</f>
        <v>184.39658255105573</v>
      </c>
      <c r="U67" s="19">
        <f t="shared" si="3"/>
        <v>207.12010882482122</v>
      </c>
      <c r="V67" s="19">
        <f t="shared" si="4"/>
        <v>176.14185119704771</v>
      </c>
      <c r="W67" s="19">
        <f t="shared" si="5"/>
        <v>172.44409979125606</v>
      </c>
      <c r="X67" s="19">
        <f t="shared" si="6"/>
        <v>170.97113657567095</v>
      </c>
      <c r="Y67" s="19">
        <f t="shared" si="7"/>
        <v>176.46406190045695</v>
      </c>
      <c r="Z67" s="19">
        <f t="shared" si="8"/>
        <v>199.95475651567301</v>
      </c>
      <c r="AA67" s="19">
        <f t="shared" si="9"/>
        <v>237.82218584967248</v>
      </c>
      <c r="AB67" s="19">
        <f t="shared" si="10"/>
        <v>194.07824702016171</v>
      </c>
      <c r="AC67" s="19">
        <f t="shared" si="11"/>
        <v>191.36247109142681</v>
      </c>
      <c r="AD67" s="19">
        <f t="shared" si="12"/>
        <v>194.00153018601668</v>
      </c>
      <c r="AE67" s="19">
        <f t="shared" si="13"/>
        <v>166.61362039623179</v>
      </c>
      <c r="AF67" s="19">
        <f t="shared" si="14"/>
        <v>146.97411085509762</v>
      </c>
      <c r="AG67" s="20">
        <f t="shared" si="15"/>
        <v>114.2006793083298</v>
      </c>
    </row>
    <row r="68" spans="2:33">
      <c r="B68" s="81" t="s">
        <v>163</v>
      </c>
      <c r="C68" s="18">
        <f>C67+C30-C49</f>
        <v>407.51593679021516</v>
      </c>
      <c r="D68" s="19">
        <f t="shared" ref="D68:P78" si="19">D67+D30-D49</f>
        <v>457.73486692720201</v>
      </c>
      <c r="E68" s="19">
        <f t="shared" si="19"/>
        <v>389.27300335760276</v>
      </c>
      <c r="F68" s="19">
        <f t="shared" si="19"/>
        <v>381.10098299094932</v>
      </c>
      <c r="G68" s="19">
        <f t="shared" si="19"/>
        <v>377.84573836356856</v>
      </c>
      <c r="H68" s="19">
        <f t="shared" si="19"/>
        <v>389.9850881198422</v>
      </c>
      <c r="I68" s="19">
        <f t="shared" si="19"/>
        <v>441.8994581669233</v>
      </c>
      <c r="J68" s="19">
        <f t="shared" si="19"/>
        <v>525.58637212916744</v>
      </c>
      <c r="K68" s="19">
        <f t="shared" si="19"/>
        <v>428.91238845560258</v>
      </c>
      <c r="L68" s="19">
        <f t="shared" si="19"/>
        <v>422.91053117386957</v>
      </c>
      <c r="M68" s="19">
        <f t="shared" si="19"/>
        <v>428.74284446459325</v>
      </c>
      <c r="N68" s="19">
        <f t="shared" si="19"/>
        <v>368.21563967423418</v>
      </c>
      <c r="O68" s="19">
        <f t="shared" si="19"/>
        <v>324.81237797582554</v>
      </c>
      <c r="P68" s="20">
        <f t="shared" si="19"/>
        <v>252.38318501660603</v>
      </c>
      <c r="S68" s="81" t="s">
        <v>170</v>
      </c>
      <c r="T68" s="18">
        <f>T67+T30-T49</f>
        <v>202.21653664869416</v>
      </c>
      <c r="U68" s="19">
        <f t="shared" si="3"/>
        <v>227.13604827930791</v>
      </c>
      <c r="V68" s="19">
        <f t="shared" si="4"/>
        <v>193.16407394965958</v>
      </c>
      <c r="W68" s="19">
        <f t="shared" si="5"/>
        <v>189.10897448782441</v>
      </c>
      <c r="X68" s="19">
        <f t="shared" si="6"/>
        <v>187.4936651586286</v>
      </c>
      <c r="Y68" s="19">
        <f t="shared" si="7"/>
        <v>193.51742286542114</v>
      </c>
      <c r="Z68" s="19">
        <f t="shared" si="8"/>
        <v>219.27824143832436</v>
      </c>
      <c r="AA68" s="19">
        <f t="shared" si="9"/>
        <v>260.80515210973203</v>
      </c>
      <c r="AB68" s="19">
        <f t="shared" si="10"/>
        <v>212.83383026038709</v>
      </c>
      <c r="AC68" s="19">
        <f t="shared" si="11"/>
        <v>209.85560368468248</v>
      </c>
      <c r="AD68" s="19">
        <f t="shared" si="12"/>
        <v>212.74969956615817</v>
      </c>
      <c r="AE68" s="19">
        <f t="shared" si="13"/>
        <v>182.71504172642449</v>
      </c>
      <c r="AF68" s="19">
        <f t="shared" si="14"/>
        <v>161.17758400381442</v>
      </c>
      <c r="AG68" s="20">
        <f t="shared" si="15"/>
        <v>125.23695142920872</v>
      </c>
    </row>
    <row r="69" spans="2:33" ht="16.5" thickBot="1">
      <c r="B69" s="82" t="s">
        <v>164</v>
      </c>
      <c r="C69" s="18">
        <f t="shared" si="17"/>
        <v>367.56715942532668</v>
      </c>
      <c r="D69" s="19">
        <f t="shared" si="19"/>
        <v>412.86312906327873</v>
      </c>
      <c r="E69" s="19">
        <f t="shared" si="19"/>
        <v>351.11258031309285</v>
      </c>
      <c r="F69" s="19">
        <f t="shared" si="19"/>
        <v>343.74166290408112</v>
      </c>
      <c r="G69" s="19">
        <f t="shared" si="19"/>
        <v>340.80552982829209</v>
      </c>
      <c r="H69" s="19">
        <f t="shared" si="19"/>
        <v>351.75485942342164</v>
      </c>
      <c r="I69" s="19">
        <f t="shared" si="19"/>
        <v>398.58006503834724</v>
      </c>
      <c r="J69" s="19">
        <f t="shared" si="19"/>
        <v>474.06315286175425</v>
      </c>
      <c r="K69" s="19">
        <f t="shared" si="19"/>
        <v>386.86611745473107</v>
      </c>
      <c r="L69" s="19">
        <f t="shared" si="19"/>
        <v>381.45262209624531</v>
      </c>
      <c r="M69" s="19">
        <f t="shared" si="19"/>
        <v>386.71319385703373</v>
      </c>
      <c r="N69" s="19">
        <f t="shared" si="19"/>
        <v>332.11946947908325</v>
      </c>
      <c r="O69" s="19">
        <f t="shared" si="19"/>
        <v>292.97102846856421</v>
      </c>
      <c r="P69" s="20">
        <f t="shared" si="19"/>
        <v>227.64206753226046</v>
      </c>
      <c r="S69" s="82" t="s">
        <v>169</v>
      </c>
      <c r="T69" s="18">
        <f t="shared" ref="T69:T77" si="20">T68+T31-T50</f>
        <v>209.92029435327805</v>
      </c>
      <c r="U69" s="19">
        <f t="shared" si="3"/>
        <v>235.78915405848733</v>
      </c>
      <c r="V69" s="19">
        <f t="shared" si="4"/>
        <v>200.52296381890764</v>
      </c>
      <c r="W69" s="19">
        <f t="shared" si="5"/>
        <v>196.31337895128075</v>
      </c>
      <c r="X69" s="19">
        <f t="shared" si="6"/>
        <v>194.63653186708078</v>
      </c>
      <c r="Y69" s="19">
        <f t="shared" si="7"/>
        <v>200.88977411857636</v>
      </c>
      <c r="Z69" s="19">
        <f t="shared" si="8"/>
        <v>227.63199168013975</v>
      </c>
      <c r="AA69" s="19">
        <f t="shared" si="9"/>
        <v>270.74093546977946</v>
      </c>
      <c r="AB69" s="19">
        <f t="shared" si="10"/>
        <v>220.94207050046711</v>
      </c>
      <c r="AC69" s="19">
        <f t="shared" si="11"/>
        <v>217.85038368897355</v>
      </c>
      <c r="AD69" s="19">
        <f t="shared" si="12"/>
        <v>220.85473471483172</v>
      </c>
      <c r="AE69" s="19">
        <f t="shared" si="13"/>
        <v>189.67585924298933</v>
      </c>
      <c r="AF69" s="19">
        <f t="shared" si="14"/>
        <v>167.31789812032375</v>
      </c>
      <c r="AG69" s="20">
        <f t="shared" si="15"/>
        <v>130.00805049687537</v>
      </c>
    </row>
    <row r="70" spans="2:33">
      <c r="B70" s="81" t="s">
        <v>165</v>
      </c>
      <c r="C70" s="18">
        <f t="shared" si="17"/>
        <v>346.15623593163269</v>
      </c>
      <c r="D70" s="19">
        <f t="shared" si="19"/>
        <v>388.81369852230893</v>
      </c>
      <c r="E70" s="19">
        <f t="shared" si="19"/>
        <v>330.66014216135318</v>
      </c>
      <c r="F70" s="19">
        <f t="shared" si="19"/>
        <v>323.71858342782662</v>
      </c>
      <c r="G70" s="19">
        <f t="shared" si="19"/>
        <v>320.9534811937246</v>
      </c>
      <c r="H70" s="19">
        <f t="shared" si="19"/>
        <v>331.26500827506294</v>
      </c>
      <c r="I70" s="19">
        <f t="shared" si="19"/>
        <v>375.36262827933405</v>
      </c>
      <c r="J70" s="19">
        <f t="shared" si="19"/>
        <v>446.44879821437058</v>
      </c>
      <c r="K70" s="19">
        <f t="shared" si="19"/>
        <v>364.33102249119844</v>
      </c>
      <c r="L70" s="19">
        <f t="shared" si="19"/>
        <v>359.23286524707311</v>
      </c>
      <c r="M70" s="19">
        <f t="shared" si="19"/>
        <v>364.18700674983899</v>
      </c>
      <c r="N70" s="19">
        <f t="shared" si="19"/>
        <v>312.77338708450651</v>
      </c>
      <c r="O70" s="19">
        <f t="shared" si="19"/>
        <v>275.90535729648116</v>
      </c>
      <c r="P70" s="20">
        <f t="shared" si="19"/>
        <v>214.38183258771357</v>
      </c>
      <c r="S70" s="81" t="s">
        <v>168</v>
      </c>
      <c r="T70" s="18">
        <f t="shared" si="20"/>
        <v>246.73167381152061</v>
      </c>
      <c r="U70" s="19">
        <f t="shared" si="3"/>
        <v>277.1368667649956</v>
      </c>
      <c r="V70" s="19">
        <f t="shared" si="4"/>
        <v>235.68643828892135</v>
      </c>
      <c r="W70" s="19">
        <f t="shared" si="5"/>
        <v>230.7386654990581</v>
      </c>
      <c r="X70" s="19">
        <f t="shared" si="6"/>
        <v>228.76776845413329</v>
      </c>
      <c r="Y70" s="19">
        <f t="shared" si="7"/>
        <v>236.11757201749862</v>
      </c>
      <c r="Z70" s="19">
        <f t="shared" si="8"/>
        <v>267.54927384853858</v>
      </c>
      <c r="AA70" s="19">
        <f t="shared" si="9"/>
        <v>318.21775204514637</v>
      </c>
      <c r="AB70" s="19">
        <f t="shared" si="10"/>
        <v>259.68621584639072</v>
      </c>
      <c r="AC70" s="19">
        <f t="shared" si="11"/>
        <v>256.05237441981075</v>
      </c>
      <c r="AD70" s="19">
        <f t="shared" si="12"/>
        <v>259.58356495863427</v>
      </c>
      <c r="AE70" s="19">
        <f t="shared" si="13"/>
        <v>222.93719802956414</v>
      </c>
      <c r="AF70" s="19">
        <f t="shared" si="14"/>
        <v>196.65857076390051</v>
      </c>
      <c r="AG70" s="20">
        <f t="shared" si="15"/>
        <v>152.80611151432416</v>
      </c>
    </row>
    <row r="71" spans="2:33" ht="16.5" thickBot="1">
      <c r="B71" s="82" t="s">
        <v>166</v>
      </c>
      <c r="C71" s="18">
        <f t="shared" si="17"/>
        <v>336.71669974704037</v>
      </c>
      <c r="D71" s="19">
        <f t="shared" si="19"/>
        <v>378.21091112375581</v>
      </c>
      <c r="E71" s="19">
        <f t="shared" si="19"/>
        <v>321.64317799101536</v>
      </c>
      <c r="F71" s="19">
        <f t="shared" si="19"/>
        <v>314.89091266907866</v>
      </c>
      <c r="G71" s="19">
        <f t="shared" si="19"/>
        <v>312.20121361967631</v>
      </c>
      <c r="H71" s="19">
        <f t="shared" si="19"/>
        <v>322.23154965807208</v>
      </c>
      <c r="I71" s="19">
        <f t="shared" si="19"/>
        <v>365.12664595635124</v>
      </c>
      <c r="J71" s="19">
        <f t="shared" si="19"/>
        <v>434.27432568473336</v>
      </c>
      <c r="K71" s="19">
        <f t="shared" si="19"/>
        <v>354.39586745717378</v>
      </c>
      <c r="L71" s="19">
        <f t="shared" si="19"/>
        <v>349.43673483483855</v>
      </c>
      <c r="M71" s="19">
        <f t="shared" si="19"/>
        <v>354.25577896501744</v>
      </c>
      <c r="N71" s="19">
        <f t="shared" si="19"/>
        <v>304.24418726519485</v>
      </c>
      <c r="O71" s="19">
        <f t="shared" si="19"/>
        <v>268.38153327316536</v>
      </c>
      <c r="P71" s="20">
        <f t="shared" si="19"/>
        <v>208.53572942396582</v>
      </c>
      <c r="S71" s="82" t="s">
        <v>167</v>
      </c>
      <c r="T71" s="18">
        <f t="shared" si="20"/>
        <v>310.71493109664004</v>
      </c>
      <c r="U71" s="19">
        <f t="shared" si="3"/>
        <v>349.00489722695494</v>
      </c>
      <c r="V71" s="19">
        <f t="shared" si="4"/>
        <v>296.80540930183298</v>
      </c>
      <c r="W71" s="19">
        <f t="shared" si="5"/>
        <v>290.57456403687286</v>
      </c>
      <c r="X71" s="19">
        <f t="shared" si="6"/>
        <v>288.09256758278082</v>
      </c>
      <c r="Y71" s="19">
        <f t="shared" si="7"/>
        <v>297.34834602616553</v>
      </c>
      <c r="Z71" s="19">
        <f t="shared" si="8"/>
        <v>336.93101864298666</v>
      </c>
      <c r="AA71" s="19">
        <f t="shared" si="9"/>
        <v>400.73901081693464</v>
      </c>
      <c r="AB71" s="19">
        <f t="shared" si="10"/>
        <v>327.0288869563488</v>
      </c>
      <c r="AC71" s="19">
        <f t="shared" si="11"/>
        <v>322.4527059941168</v>
      </c>
      <c r="AD71" s="19">
        <f t="shared" si="12"/>
        <v>326.89961630769824</v>
      </c>
      <c r="AE71" s="19">
        <f t="shared" si="13"/>
        <v>280.7499947394254</v>
      </c>
      <c r="AF71" s="19">
        <f t="shared" si="14"/>
        <v>247.65670868486569</v>
      </c>
      <c r="AG71" s="20">
        <f t="shared" si="15"/>
        <v>192.43228758131903</v>
      </c>
    </row>
    <row r="72" spans="2:33">
      <c r="B72" s="81" t="s">
        <v>167</v>
      </c>
      <c r="C72" s="18">
        <f t="shared" si="17"/>
        <v>252.09765869746991</v>
      </c>
      <c r="D72" s="19">
        <f t="shared" si="19"/>
        <v>283.16411172883556</v>
      </c>
      <c r="E72" s="19">
        <f t="shared" si="19"/>
        <v>240.81220850781779</v>
      </c>
      <c r="F72" s="19">
        <f t="shared" si="19"/>
        <v>235.7568302630109</v>
      </c>
      <c r="G72" s="19">
        <f t="shared" si="19"/>
        <v>233.74306963437397</v>
      </c>
      <c r="H72" s="19">
        <f t="shared" si="19"/>
        <v>241.25271864533204</v>
      </c>
      <c r="I72" s="19">
        <f t="shared" si="19"/>
        <v>273.36800533744605</v>
      </c>
      <c r="J72" s="19">
        <f t="shared" si="19"/>
        <v>325.138434831984</v>
      </c>
      <c r="K72" s="19">
        <f t="shared" si="19"/>
        <v>265.333939496114</v>
      </c>
      <c r="L72" s="19">
        <f t="shared" si="19"/>
        <v>261.62106833706497</v>
      </c>
      <c r="M72" s="19">
        <f t="shared" si="19"/>
        <v>265.22905613003911</v>
      </c>
      <c r="N72" s="19">
        <f t="shared" si="19"/>
        <v>227.7856944413235</v>
      </c>
      <c r="O72" s="19">
        <f t="shared" si="19"/>
        <v>200.93555272616626</v>
      </c>
      <c r="P72" s="20">
        <f t="shared" si="19"/>
        <v>156.12937873899716</v>
      </c>
      <c r="S72" s="81" t="s">
        <v>166</v>
      </c>
      <c r="T72" s="18">
        <f t="shared" si="20"/>
        <v>320.82401805873593</v>
      </c>
      <c r="U72" s="19">
        <f t="shared" si="3"/>
        <v>360.35974536319492</v>
      </c>
      <c r="V72" s="19">
        <f t="shared" si="4"/>
        <v>306.46195101633299</v>
      </c>
      <c r="W72" s="19">
        <f t="shared" si="5"/>
        <v>300.02838566834197</v>
      </c>
      <c r="X72" s="19">
        <f t="shared" si="6"/>
        <v>297.46563764590564</v>
      </c>
      <c r="Y72" s="19">
        <f t="shared" si="7"/>
        <v>307.0225521462408</v>
      </c>
      <c r="Z72" s="19">
        <f t="shared" si="8"/>
        <v>347.89304404571868</v>
      </c>
      <c r="AA72" s="19">
        <f t="shared" si="9"/>
        <v>413.77702445585015</v>
      </c>
      <c r="AB72" s="19">
        <f t="shared" si="10"/>
        <v>337.66874724787408</v>
      </c>
      <c r="AC72" s="19">
        <f t="shared" si="11"/>
        <v>332.94368058150735</v>
      </c>
      <c r="AD72" s="19">
        <f t="shared" si="12"/>
        <v>337.53527078837226</v>
      </c>
      <c r="AE72" s="19">
        <f t="shared" si="13"/>
        <v>289.88417474619848</v>
      </c>
      <c r="AF72" s="19">
        <f t="shared" si="14"/>
        <v>255.71420111371549</v>
      </c>
      <c r="AG72" s="20">
        <f t="shared" si="15"/>
        <v>198.69305761450923</v>
      </c>
    </row>
    <row r="73" spans="2:33" ht="16.5" thickBot="1">
      <c r="B73" s="82" t="s">
        <v>168</v>
      </c>
      <c r="C73" s="18">
        <f t="shared" si="17"/>
        <v>213.57744299139873</v>
      </c>
      <c r="D73" s="19">
        <f t="shared" si="19"/>
        <v>239.89697977541113</v>
      </c>
      <c r="E73" s="19">
        <f t="shared" si="19"/>
        <v>204.01639586796949</v>
      </c>
      <c r="F73" s="19">
        <f t="shared" si="19"/>
        <v>199.73347327178658</v>
      </c>
      <c r="G73" s="19">
        <f t="shared" si="19"/>
        <v>198.02741281853514</v>
      </c>
      <c r="H73" s="19">
        <f t="shared" si="19"/>
        <v>204.38959659211815</v>
      </c>
      <c r="I73" s="19">
        <f t="shared" si="19"/>
        <v>231.59770652886564</v>
      </c>
      <c r="J73" s="19">
        <f t="shared" si="19"/>
        <v>275.45767734786824</v>
      </c>
      <c r="K73" s="19">
        <f t="shared" si="19"/>
        <v>224.79123617891526</v>
      </c>
      <c r="L73" s="19">
        <f t="shared" si="19"/>
        <v>221.64568721823321</v>
      </c>
      <c r="M73" s="19">
        <f t="shared" si="19"/>
        <v>224.70237886364171</v>
      </c>
      <c r="N73" s="19">
        <f t="shared" si="19"/>
        <v>192.98031731100008</v>
      </c>
      <c r="O73" s="19">
        <f t="shared" si="19"/>
        <v>170.23284460098273</v>
      </c>
      <c r="P73" s="20">
        <f t="shared" si="19"/>
        <v>132.2729995161408</v>
      </c>
      <c r="S73" s="82" t="s">
        <v>165</v>
      </c>
      <c r="T73" s="18">
        <f t="shared" si="20"/>
        <v>339.4508061720868</v>
      </c>
      <c r="U73" s="19">
        <f t="shared" si="3"/>
        <v>381.28194645673159</v>
      </c>
      <c r="V73" s="19">
        <f t="shared" si="4"/>
        <v>324.25488890460628</v>
      </c>
      <c r="W73" s="19">
        <f t="shared" si="5"/>
        <v>317.44779585356002</v>
      </c>
      <c r="X73" s="19">
        <f t="shared" si="6"/>
        <v>314.7362567128942</v>
      </c>
      <c r="Y73" s="19">
        <f t="shared" si="7"/>
        <v>324.84803809162673</v>
      </c>
      <c r="Z73" s="19">
        <f t="shared" si="8"/>
        <v>368.09143834536832</v>
      </c>
      <c r="AA73" s="19">
        <f t="shared" si="9"/>
        <v>437.8005904199822</v>
      </c>
      <c r="AB73" s="19">
        <f t="shared" si="10"/>
        <v>357.27352698208733</v>
      </c>
      <c r="AC73" s="19">
        <f t="shared" si="11"/>
        <v>352.27412669148504</v>
      </c>
      <c r="AD73" s="19">
        <f t="shared" si="12"/>
        <v>357.13230098517778</v>
      </c>
      <c r="AE73" s="19">
        <f t="shared" si="13"/>
        <v>306.71462008842491</v>
      </c>
      <c r="AF73" s="19">
        <f t="shared" si="14"/>
        <v>270.56076487954908</v>
      </c>
      <c r="AG73" s="20">
        <f t="shared" si="15"/>
        <v>210.22901899973729</v>
      </c>
    </row>
    <row r="74" spans="2:33">
      <c r="B74" s="81" t="s">
        <v>169</v>
      </c>
      <c r="C74" s="18">
        <f t="shared" si="17"/>
        <v>204.92947798374448</v>
      </c>
      <c r="D74" s="19">
        <f t="shared" si="19"/>
        <v>230.18331030974923</v>
      </c>
      <c r="E74" s="19">
        <f t="shared" si="19"/>
        <v>195.75556725356853</v>
      </c>
      <c r="F74" s="19">
        <f t="shared" si="19"/>
        <v>191.64606449153811</v>
      </c>
      <c r="G74" s="19">
        <f t="shared" si="19"/>
        <v>190.00908413819803</v>
      </c>
      <c r="H74" s="19">
        <f t="shared" si="19"/>
        <v>196.11365670586159</v>
      </c>
      <c r="I74" s="19">
        <f t="shared" si="19"/>
        <v>222.22008296589757</v>
      </c>
      <c r="J74" s="19">
        <f t="shared" si="19"/>
        <v>264.30411954967877</v>
      </c>
      <c r="K74" s="19">
        <f t="shared" si="19"/>
        <v>215.68921343121858</v>
      </c>
      <c r="L74" s="19">
        <f t="shared" si="19"/>
        <v>212.67103090474811</v>
      </c>
      <c r="M74" s="19">
        <f t="shared" si="19"/>
        <v>215.60395403781544</v>
      </c>
      <c r="N74" s="19">
        <f t="shared" si="19"/>
        <v>185.16635059290078</v>
      </c>
      <c r="O74" s="19">
        <f t="shared" si="19"/>
        <v>163.33994588170165</v>
      </c>
      <c r="P74" s="20">
        <f t="shared" si="19"/>
        <v>126.91713301988763</v>
      </c>
      <c r="S74" s="81" t="s">
        <v>164</v>
      </c>
      <c r="T74" s="18">
        <f t="shared" si="20"/>
        <v>379.62732092518746</v>
      </c>
      <c r="U74" s="19">
        <f t="shared" si="3"/>
        <v>426.40948620145667</v>
      </c>
      <c r="V74" s="19">
        <f t="shared" si="4"/>
        <v>362.63285440349091</v>
      </c>
      <c r="W74" s="19">
        <f t="shared" si="5"/>
        <v>355.02009151923636</v>
      </c>
      <c r="X74" s="19">
        <f t="shared" si="6"/>
        <v>351.98762165662868</v>
      </c>
      <c r="Y74" s="19">
        <f t="shared" si="7"/>
        <v>363.29620718593617</v>
      </c>
      <c r="Z74" s="19">
        <f t="shared" si="8"/>
        <v>411.65778384898022</v>
      </c>
      <c r="AA74" s="19">
        <f t="shared" si="9"/>
        <v>489.61752990018363</v>
      </c>
      <c r="AB74" s="19">
        <f t="shared" si="10"/>
        <v>399.55949262628519</v>
      </c>
      <c r="AC74" s="19">
        <f t="shared" si="11"/>
        <v>393.96837631710258</v>
      </c>
      <c r="AD74" s="19">
        <f t="shared" si="12"/>
        <v>399.40155148760789</v>
      </c>
      <c r="AE74" s="19">
        <f t="shared" si="13"/>
        <v>343.0165649797479</v>
      </c>
      <c r="AF74" s="19">
        <f t="shared" si="14"/>
        <v>302.58363347831352</v>
      </c>
      <c r="AG74" s="20">
        <f t="shared" si="15"/>
        <v>235.11117903529467</v>
      </c>
    </row>
    <row r="75" spans="2:33" ht="16.5" thickBot="1">
      <c r="B75" s="82" t="s">
        <v>170</v>
      </c>
      <c r="C75" s="18">
        <f t="shared" si="17"/>
        <v>189.9195814196415</v>
      </c>
      <c r="D75" s="19">
        <f t="shared" si="19"/>
        <v>213.32371688997671</v>
      </c>
      <c r="E75" s="19">
        <f t="shared" si="19"/>
        <v>181.41760648173445</v>
      </c>
      <c r="F75" s="19">
        <f t="shared" si="19"/>
        <v>177.6091009798096</v>
      </c>
      <c r="G75" s="19">
        <f t="shared" si="19"/>
        <v>176.09201994999702</v>
      </c>
      <c r="H75" s="19">
        <f t="shared" si="19"/>
        <v>181.74946795700583</v>
      </c>
      <c r="I75" s="19">
        <f t="shared" si="19"/>
        <v>205.94374979703505</v>
      </c>
      <c r="J75" s="19">
        <f t="shared" si="19"/>
        <v>244.94537460512927</v>
      </c>
      <c r="K75" s="19">
        <f t="shared" si="19"/>
        <v>199.89122860517941</v>
      </c>
      <c r="L75" s="19">
        <f t="shared" si="19"/>
        <v>197.09411045646283</v>
      </c>
      <c r="M75" s="19">
        <f t="shared" si="19"/>
        <v>199.81221396821002</v>
      </c>
      <c r="N75" s="19">
        <f t="shared" si="19"/>
        <v>171.60398857013541</v>
      </c>
      <c r="O75" s="19">
        <f t="shared" si="19"/>
        <v>151.37624150597006</v>
      </c>
      <c r="P75" s="20">
        <f t="shared" si="19"/>
        <v>117.62118859264363</v>
      </c>
      <c r="S75" s="82" t="s">
        <v>163</v>
      </c>
      <c r="T75" s="18">
        <f t="shared" si="20"/>
        <v>407.8995425168892</v>
      </c>
      <c r="U75" s="19">
        <f t="shared" si="3"/>
        <v>458.16574508532932</v>
      </c>
      <c r="V75" s="19">
        <f t="shared" si="4"/>
        <v>389.63943651971124</v>
      </c>
      <c r="W75" s="19">
        <f t="shared" si="5"/>
        <v>381.4597236101946</v>
      </c>
      <c r="X75" s="19">
        <f t="shared" si="6"/>
        <v>378.20141473337463</v>
      </c>
      <c r="Y75" s="19">
        <f t="shared" si="7"/>
        <v>390.3521915865154</v>
      </c>
      <c r="Z75" s="19">
        <f t="shared" si="8"/>
        <v>442.31543002829932</v>
      </c>
      <c r="AA75" s="19">
        <f t="shared" si="9"/>
        <v>526.08112073654377</v>
      </c>
      <c r="AB75" s="19">
        <f t="shared" si="10"/>
        <v>429.31613523848648</v>
      </c>
      <c r="AC75" s="19">
        <f t="shared" si="11"/>
        <v>423.30862824684993</v>
      </c>
      <c r="AD75" s="19">
        <f t="shared" si="12"/>
        <v>429.14643165115228</v>
      </c>
      <c r="AE75" s="19">
        <f t="shared" si="13"/>
        <v>368.56225097278241</v>
      </c>
      <c r="AF75" s="19">
        <f t="shared" si="14"/>
        <v>325.11813261518409</v>
      </c>
      <c r="AG75" s="20">
        <f t="shared" si="15"/>
        <v>252.62076010594171</v>
      </c>
    </row>
    <row r="76" spans="2:33">
      <c r="B76" s="81" t="s">
        <v>171</v>
      </c>
      <c r="C76" s="18">
        <f t="shared" si="17"/>
        <v>140.42303600637655</v>
      </c>
      <c r="D76" s="19">
        <f t="shared" si="19"/>
        <v>157.72762215427497</v>
      </c>
      <c r="E76" s="19">
        <f t="shared" si="19"/>
        <v>134.13683253063763</v>
      </c>
      <c r="F76" s="19">
        <f t="shared" si="19"/>
        <v>131.32089379894052</v>
      </c>
      <c r="G76" s="19">
        <f t="shared" si="19"/>
        <v>130.19919206349249</v>
      </c>
      <c r="H76" s="19">
        <f t="shared" si="19"/>
        <v>134.38220478526677</v>
      </c>
      <c r="I76" s="19">
        <f t="shared" si="19"/>
        <v>152.27101058704432</v>
      </c>
      <c r="J76" s="19">
        <f t="shared" si="19"/>
        <v>181.10809270251599</v>
      </c>
      <c r="K76" s="19">
        <f t="shared" si="19"/>
        <v>147.79588803833065</v>
      </c>
      <c r="L76" s="19">
        <f t="shared" si="19"/>
        <v>145.72775046359874</v>
      </c>
      <c r="M76" s="19">
        <f t="shared" si="19"/>
        <v>147.73746607294277</v>
      </c>
      <c r="N76" s="19">
        <f t="shared" si="19"/>
        <v>126.88082442945944</v>
      </c>
      <c r="O76" s="19">
        <f t="shared" si="19"/>
        <v>111.92480129015505</v>
      </c>
      <c r="P76" s="20">
        <f t="shared" si="19"/>
        <v>86.966937676440352</v>
      </c>
      <c r="S76" s="81" t="s">
        <v>162</v>
      </c>
      <c r="T76" s="18">
        <f t="shared" si="20"/>
        <v>454.27529732032463</v>
      </c>
      <c r="U76" s="19">
        <f t="shared" si="3"/>
        <v>510.25646850782681</v>
      </c>
      <c r="V76" s="19">
        <f t="shared" si="4"/>
        <v>433.93912574782235</v>
      </c>
      <c r="W76" s="19">
        <f t="shared" si="5"/>
        <v>424.82942807315112</v>
      </c>
      <c r="X76" s="19">
        <f t="shared" si="6"/>
        <v>421.20066883344793</v>
      </c>
      <c r="Y76" s="19">
        <f t="shared" si="7"/>
        <v>434.73291683150723</v>
      </c>
      <c r="Z76" s="19">
        <f t="shared" si="8"/>
        <v>492.6040667896882</v>
      </c>
      <c r="AA76" s="19">
        <f t="shared" si="9"/>
        <v>585.89341891038725</v>
      </c>
      <c r="AB76" s="19">
        <f t="shared" si="10"/>
        <v>478.1268294062894</v>
      </c>
      <c r="AC76" s="19">
        <f t="shared" si="11"/>
        <v>471.43630455808704</v>
      </c>
      <c r="AD76" s="19">
        <f t="shared" si="12"/>
        <v>477.93783152922168</v>
      </c>
      <c r="AE76" s="19">
        <f t="shared" si="13"/>
        <v>410.46558941599312</v>
      </c>
      <c r="AF76" s="19">
        <f t="shared" si="14"/>
        <v>362.08213288661932</v>
      </c>
      <c r="AG76" s="20">
        <f t="shared" si="15"/>
        <v>281.34223980322662</v>
      </c>
    </row>
    <row r="77" spans="2:33" ht="16.5" thickBot="1">
      <c r="B77" s="82" t="s">
        <v>172</v>
      </c>
      <c r="C77" s="18">
        <f t="shared" si="17"/>
        <v>115.8482146908943</v>
      </c>
      <c r="D77" s="19">
        <f t="shared" si="19"/>
        <v>130.12440090800311</v>
      </c>
      <c r="E77" s="19">
        <f t="shared" si="19"/>
        <v>110.66213218933822</v>
      </c>
      <c r="F77" s="19">
        <f t="shared" si="19"/>
        <v>108.33899857804643</v>
      </c>
      <c r="G77" s="19">
        <f t="shared" si="19"/>
        <v>107.41360095695072</v>
      </c>
      <c r="H77" s="19">
        <f t="shared" si="19"/>
        <v>110.86456291895277</v>
      </c>
      <c r="I77" s="19">
        <f t="shared" si="19"/>
        <v>125.62272706371557</v>
      </c>
      <c r="J77" s="19">
        <f t="shared" si="19"/>
        <v>149.41315757271275</v>
      </c>
      <c r="K77" s="19">
        <f t="shared" si="19"/>
        <v>121.93077613788672</v>
      </c>
      <c r="L77" s="19">
        <f t="shared" si="19"/>
        <v>120.22457427399192</v>
      </c>
      <c r="M77" s="19">
        <f t="shared" si="19"/>
        <v>121.88257834512136</v>
      </c>
      <c r="N77" s="19">
        <f t="shared" si="19"/>
        <v>104.67596632787664</v>
      </c>
      <c r="O77" s="19">
        <f t="shared" si="19"/>
        <v>92.337331379936657</v>
      </c>
      <c r="P77" s="20">
        <f t="shared" si="19"/>
        <v>71.747234310561296</v>
      </c>
      <c r="S77" s="82" t="s">
        <v>161</v>
      </c>
      <c r="T77" s="18">
        <f t="shared" si="20"/>
        <v>422.00088747331256</v>
      </c>
      <c r="U77" s="19">
        <f t="shared" si="3"/>
        <v>474.00482443020854</v>
      </c>
      <c r="V77" s="19">
        <f t="shared" si="4"/>
        <v>403.10951807236063</v>
      </c>
      <c r="W77" s="19">
        <f t="shared" si="5"/>
        <v>394.64702731840248</v>
      </c>
      <c r="X77" s="19">
        <f t="shared" si="6"/>
        <v>391.27607664462653</v>
      </c>
      <c r="Y77" s="19">
        <f t="shared" si="7"/>
        <v>403.84691353224895</v>
      </c>
      <c r="Z77" s="19">
        <f t="shared" si="8"/>
        <v>457.60655396507002</v>
      </c>
      <c r="AA77" s="19">
        <f t="shared" si="9"/>
        <v>544.26807753672381</v>
      </c>
      <c r="AB77" s="19">
        <f t="shared" si="10"/>
        <v>444.15786533948494</v>
      </c>
      <c r="AC77" s="19">
        <f t="shared" si="11"/>
        <v>437.94267503471093</v>
      </c>
      <c r="AD77" s="19">
        <f t="shared" si="12"/>
        <v>443.98229499189256</v>
      </c>
      <c r="AE77" s="19">
        <f t="shared" si="13"/>
        <v>381.30368090137307</v>
      </c>
      <c r="AF77" s="19">
        <f t="shared" si="14"/>
        <v>336.35767191769531</v>
      </c>
      <c r="AG77" s="20">
        <f t="shared" si="15"/>
        <v>261.35401942618296</v>
      </c>
    </row>
    <row r="78" spans="2:33">
      <c r="B78" s="81" t="s">
        <v>173</v>
      </c>
      <c r="C78" s="18">
        <f t="shared" si="17"/>
        <v>115.8482146908943</v>
      </c>
      <c r="D78" s="19">
        <f t="shared" si="19"/>
        <v>130.12440090800311</v>
      </c>
      <c r="E78" s="19">
        <f t="shared" si="19"/>
        <v>110.66213218933822</v>
      </c>
      <c r="F78" s="19">
        <f t="shared" si="19"/>
        <v>108.33899857804643</v>
      </c>
      <c r="G78" s="19">
        <f t="shared" si="19"/>
        <v>107.41360095695072</v>
      </c>
      <c r="H78" s="19">
        <f t="shared" si="19"/>
        <v>110.86456291895277</v>
      </c>
      <c r="I78" s="19">
        <f t="shared" si="19"/>
        <v>125.62272706371557</v>
      </c>
      <c r="J78" s="19">
        <f t="shared" si="19"/>
        <v>149.41315757271275</v>
      </c>
      <c r="K78" s="19">
        <f t="shared" si="19"/>
        <v>121.93077613788672</v>
      </c>
      <c r="L78" s="19">
        <f t="shared" si="19"/>
        <v>120.22457427399192</v>
      </c>
      <c r="M78" s="19">
        <f t="shared" si="19"/>
        <v>121.88257834512136</v>
      </c>
      <c r="N78" s="19">
        <f t="shared" si="19"/>
        <v>104.67596632787664</v>
      </c>
      <c r="O78" s="19">
        <f t="shared" si="19"/>
        <v>92.337331379936657</v>
      </c>
      <c r="P78" s="20">
        <f t="shared" si="19"/>
        <v>71.747234310561296</v>
      </c>
      <c r="S78" s="81" t="s">
        <v>160</v>
      </c>
      <c r="T78" s="18">
        <f>T77+T40-T59</f>
        <v>263.83844711020788</v>
      </c>
      <c r="U78" s="19">
        <f t="shared" si="3"/>
        <v>296.35173885344449</v>
      </c>
      <c r="V78" s="19">
        <f t="shared" si="4"/>
        <v>252.02740662549411</v>
      </c>
      <c r="W78" s="19">
        <f t="shared" si="5"/>
        <v>246.73658737490658</v>
      </c>
      <c r="X78" s="19">
        <f t="shared" si="6"/>
        <v>244.62904111741105</v>
      </c>
      <c r="Y78" s="19">
        <f t="shared" si="7"/>
        <v>252.48843236932109</v>
      </c>
      <c r="Z78" s="19">
        <f t="shared" si="8"/>
        <v>286.09940445500342</v>
      </c>
      <c r="AA78" s="19">
        <f t="shared" si="9"/>
        <v>340.28090615811482</v>
      </c>
      <c r="AB78" s="19">
        <f t="shared" si="10"/>
        <v>277.69117303187045</v>
      </c>
      <c r="AC78" s="19">
        <f t="shared" si="11"/>
        <v>273.80538461961339</v>
      </c>
      <c r="AD78" s="19">
        <f t="shared" si="12"/>
        <v>277.58140499762595</v>
      </c>
      <c r="AE78" s="19">
        <f t="shared" si="13"/>
        <v>238.39421677232048</v>
      </c>
      <c r="AF78" s="19">
        <f t="shared" si="14"/>
        <v>210.29360000571495</v>
      </c>
      <c r="AG78" s="20">
        <f t="shared" si="15"/>
        <v>163.40069577644186</v>
      </c>
    </row>
    <row r="79" spans="2:33" ht="16.5" thickBot="1">
      <c r="B79" s="82" t="s">
        <v>174</v>
      </c>
      <c r="C79" s="21">
        <f>C78+C41-C60</f>
        <v>-1.1368683772161603E-13</v>
      </c>
      <c r="D79" s="22">
        <f t="shared" ref="D79:P79" si="21">D78+D41-D60</f>
        <v>0</v>
      </c>
      <c r="E79" s="22">
        <f t="shared" si="21"/>
        <v>0</v>
      </c>
      <c r="F79" s="22">
        <f t="shared" si="21"/>
        <v>0</v>
      </c>
      <c r="G79" s="22">
        <f t="shared" si="21"/>
        <v>-2.1316282072803006E-13</v>
      </c>
      <c r="H79" s="22">
        <f t="shared" si="21"/>
        <v>-1.8474111129762605E-13</v>
      </c>
      <c r="I79" s="22">
        <f t="shared" si="21"/>
        <v>-1.7053025658242404E-13</v>
      </c>
      <c r="J79" s="22">
        <f t="shared" si="21"/>
        <v>0</v>
      </c>
      <c r="K79" s="22">
        <f t="shared" si="21"/>
        <v>0</v>
      </c>
      <c r="L79" s="22">
        <f t="shared" si="21"/>
        <v>0</v>
      </c>
      <c r="M79" s="22">
        <f t="shared" si="21"/>
        <v>0</v>
      </c>
      <c r="N79" s="22">
        <f t="shared" si="21"/>
        <v>0</v>
      </c>
      <c r="O79" s="22">
        <f t="shared" si="21"/>
        <v>0</v>
      </c>
      <c r="P79" s="23">
        <f t="shared" si="21"/>
        <v>-1.1368683772161603E-13</v>
      </c>
      <c r="S79" s="82" t="s">
        <v>159</v>
      </c>
      <c r="T79" s="21">
        <f>T78+T41-T60</f>
        <v>0</v>
      </c>
      <c r="U79" s="22">
        <f t="shared" si="3"/>
        <v>0</v>
      </c>
      <c r="V79" s="22">
        <f t="shared" si="4"/>
        <v>0</v>
      </c>
      <c r="W79" s="22">
        <f t="shared" si="5"/>
        <v>0</v>
      </c>
      <c r="X79" s="22">
        <f t="shared" si="6"/>
        <v>0</v>
      </c>
      <c r="Y79" s="22">
        <f t="shared" si="7"/>
        <v>0</v>
      </c>
      <c r="Z79" s="22">
        <f t="shared" si="8"/>
        <v>0</v>
      </c>
      <c r="AA79" s="22">
        <f t="shared" si="9"/>
        <v>0</v>
      </c>
      <c r="AB79" s="22">
        <f t="shared" si="10"/>
        <v>0</v>
      </c>
      <c r="AC79" s="22">
        <f t="shared" si="11"/>
        <v>0</v>
      </c>
      <c r="AD79" s="22">
        <f t="shared" si="12"/>
        <v>0</v>
      </c>
      <c r="AE79" s="22">
        <f t="shared" si="13"/>
        <v>0</v>
      </c>
      <c r="AF79" s="22">
        <f t="shared" si="14"/>
        <v>0</v>
      </c>
      <c r="AG79" s="23">
        <f t="shared" si="15"/>
        <v>0</v>
      </c>
    </row>
    <row r="81" spans="2:33">
      <c r="B81" s="27" t="s">
        <v>43</v>
      </c>
      <c r="C81" s="11">
        <f>MAX(C64:C79)</f>
        <v>453.9632912108454</v>
      </c>
      <c r="D81" s="11">
        <f>MAX(D64:D79)</f>
        <v>509.90601331795642</v>
      </c>
      <c r="E81" s="11">
        <f t="shared" ref="E81:P81" si="22">MAX(E64:E79)</f>
        <v>433.64108696126681</v>
      </c>
      <c r="F81" s="11">
        <f t="shared" si="22"/>
        <v>424.53764602418801</v>
      </c>
      <c r="G81" s="11">
        <f t="shared" si="22"/>
        <v>420.9113790948951</v>
      </c>
      <c r="H81" s="11">
        <f t="shared" si="22"/>
        <v>434.43433285204958</v>
      </c>
      <c r="I81" s="11">
        <f t="shared" si="22"/>
        <v>492.26573565150073</v>
      </c>
      <c r="J81" s="11">
        <f t="shared" si="22"/>
        <v>585.49101462540375</v>
      </c>
      <c r="K81" s="11">
        <f t="shared" si="22"/>
        <v>477.7984415481763</v>
      </c>
      <c r="L81" s="11">
        <f t="shared" si="22"/>
        <v>471.11251189729279</v>
      </c>
      <c r="M81" s="11">
        <f t="shared" si="22"/>
        <v>477.60957347894237</v>
      </c>
      <c r="N81" s="11">
        <f t="shared" si="22"/>
        <v>410.18367276240389</v>
      </c>
      <c r="O81" s="11">
        <f t="shared" si="22"/>
        <v>361.83344703849957</v>
      </c>
      <c r="P81" s="11">
        <f t="shared" si="22"/>
        <v>281.14900786173422</v>
      </c>
      <c r="S81" s="27" t="s">
        <v>43</v>
      </c>
      <c r="T81" s="11">
        <f>MAX(T64:T79)</f>
        <v>454.27529732032463</v>
      </c>
      <c r="U81" s="11">
        <f>MAX(U64:U79)</f>
        <v>510.25646850782681</v>
      </c>
      <c r="V81" s="11">
        <f>MAX(V64:V79)</f>
        <v>433.93912574782235</v>
      </c>
      <c r="W81" s="11">
        <f t="shared" ref="W81:AF81" si="23">MAX(W64:W79)</f>
        <v>424.82942807315112</v>
      </c>
      <c r="X81" s="11">
        <f t="shared" si="23"/>
        <v>421.20066883344793</v>
      </c>
      <c r="Y81" s="11">
        <f t="shared" si="23"/>
        <v>434.73291683150723</v>
      </c>
      <c r="Z81" s="11">
        <f t="shared" si="23"/>
        <v>492.6040667896882</v>
      </c>
      <c r="AA81" s="11">
        <f t="shared" si="23"/>
        <v>585.89341891038725</v>
      </c>
      <c r="AB81" s="11">
        <f t="shared" si="23"/>
        <v>478.1268294062894</v>
      </c>
      <c r="AC81" s="11">
        <f t="shared" si="23"/>
        <v>471.43630455808704</v>
      </c>
      <c r="AD81" s="11">
        <f t="shared" si="23"/>
        <v>477.93783152922168</v>
      </c>
      <c r="AE81" s="11">
        <f t="shared" si="23"/>
        <v>410.46558941599312</v>
      </c>
      <c r="AF81" s="11">
        <f t="shared" si="23"/>
        <v>362.08213288661932</v>
      </c>
      <c r="AG81" s="11">
        <f>MAX(AG64:AG79)</f>
        <v>281.34223980322662</v>
      </c>
    </row>
    <row r="82" spans="2:33">
      <c r="B82" s="27" t="s">
        <v>42</v>
      </c>
      <c r="C82" s="28">
        <f>SUM(C26:C41)/C81</f>
        <v>1.3425658807468648</v>
      </c>
      <c r="D82" s="28">
        <f>SUM(D26:D41)/D81</f>
        <v>1.3425658807468652</v>
      </c>
      <c r="E82" s="28">
        <f t="shared" ref="E82:P82" si="24">SUM(E26:E41)/E81</f>
        <v>1.3425658807468652</v>
      </c>
      <c r="F82" s="28">
        <f t="shared" si="24"/>
        <v>1.3425658807468652</v>
      </c>
      <c r="G82" s="28">
        <f t="shared" si="24"/>
        <v>1.3425658807468652</v>
      </c>
      <c r="H82" s="28">
        <f t="shared" si="24"/>
        <v>1.3425658807468648</v>
      </c>
      <c r="I82" s="28">
        <f t="shared" si="24"/>
        <v>1.342565880746865</v>
      </c>
      <c r="J82" s="28">
        <f t="shared" si="24"/>
        <v>1.342565880746865</v>
      </c>
      <c r="K82" s="28">
        <f t="shared" si="24"/>
        <v>1.3425658807468648</v>
      </c>
      <c r="L82" s="28">
        <f t="shared" si="24"/>
        <v>1.3425658807468652</v>
      </c>
      <c r="M82" s="28">
        <f t="shared" si="24"/>
        <v>1.3425658807468652</v>
      </c>
      <c r="N82" s="28">
        <f t="shared" si="24"/>
        <v>1.342565880746865</v>
      </c>
      <c r="O82" s="28">
        <f t="shared" si="24"/>
        <v>1.342565880746865</v>
      </c>
      <c r="P82" s="28">
        <f t="shared" si="24"/>
        <v>1.3425658807468654</v>
      </c>
      <c r="S82" s="27" t="s">
        <v>42</v>
      </c>
      <c r="T82" s="28">
        <f>SUM(T26:T41)/T81</f>
        <v>1.2543698434004928</v>
      </c>
      <c r="U82" s="28">
        <f>SUM(U26:U41)/U81</f>
        <v>1.2543698434004926</v>
      </c>
      <c r="V82" s="28">
        <f t="shared" ref="V82" si="25">SUM(V26:V41)/V81</f>
        <v>1.2543698434004922</v>
      </c>
      <c r="W82" s="28">
        <f t="shared" ref="W82" si="26">SUM(W26:W41)/W81</f>
        <v>1.2543698434004922</v>
      </c>
      <c r="X82" s="28">
        <f t="shared" ref="X82" si="27">SUM(X26:X41)/X81</f>
        <v>1.2543698434004928</v>
      </c>
      <c r="Y82" s="28">
        <f t="shared" ref="Y82" si="28">SUM(Y26:Y41)/Y81</f>
        <v>1.2543698434004926</v>
      </c>
      <c r="Z82" s="28">
        <f t="shared" ref="Z82" si="29">SUM(Z26:Z41)/Z81</f>
        <v>1.2543698434004922</v>
      </c>
      <c r="AA82" s="28">
        <f t="shared" ref="AA82" si="30">SUM(AA26:AA41)/AA81</f>
        <v>1.2543698434004922</v>
      </c>
      <c r="AB82" s="28">
        <f t="shared" ref="AB82" si="31">SUM(AB26:AB41)/AB81</f>
        <v>1.2543698434004926</v>
      </c>
      <c r="AC82" s="28">
        <f t="shared" ref="AC82" si="32">SUM(AC26:AC41)/AC81</f>
        <v>1.2543698434004926</v>
      </c>
      <c r="AD82" s="28">
        <f t="shared" ref="AD82" si="33">SUM(AD26:AD41)/AD81</f>
        <v>1.2543698434004924</v>
      </c>
      <c r="AE82" s="28">
        <f t="shared" ref="AE82" si="34">SUM(AE26:AE41)/AE81</f>
        <v>1.2543698434004926</v>
      </c>
      <c r="AF82" s="28">
        <f t="shared" ref="AF82" si="35">SUM(AF26:AF41)/AF81</f>
        <v>1.2543698434004924</v>
      </c>
      <c r="AG82" s="28">
        <f t="shared" ref="AG82" si="36">SUM(AG26:AG41)/AG81</f>
        <v>1.2543698434004924</v>
      </c>
    </row>
  </sheetData>
  <mergeCells count="20">
    <mergeCell ref="B2:E2"/>
    <mergeCell ref="S2:V2"/>
    <mergeCell ref="B3:B4"/>
    <mergeCell ref="C3:E3"/>
    <mergeCell ref="G3:I3"/>
    <mergeCell ref="S3:S4"/>
    <mergeCell ref="T3:V3"/>
    <mergeCell ref="X3:Z3"/>
    <mergeCell ref="B24:B25"/>
    <mergeCell ref="B43:B44"/>
    <mergeCell ref="B62:B63"/>
    <mergeCell ref="S62:S63"/>
    <mergeCell ref="S43:S44"/>
    <mergeCell ref="S24:S25"/>
    <mergeCell ref="C24:P24"/>
    <mergeCell ref="T24:AG24"/>
    <mergeCell ref="C43:P43"/>
    <mergeCell ref="T43:AG43"/>
    <mergeCell ref="C62:P62"/>
    <mergeCell ref="T62:AG62"/>
  </mergeCells>
  <phoneticPr fontId="24" type="noConversion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58E3-8D94-42E2-84AB-3CE724381503}">
  <dimension ref="A1:D35"/>
  <sheetViews>
    <sheetView topLeftCell="A4" workbookViewId="0">
      <selection activeCell="F27" sqref="F27"/>
    </sheetView>
  </sheetViews>
  <sheetFormatPr baseColWidth="10" defaultRowHeight="15"/>
  <cols>
    <col min="1" max="1" width="68" customWidth="1"/>
    <col min="2" max="2" width="12.140625" bestFit="1" customWidth="1"/>
  </cols>
  <sheetData>
    <row r="1" spans="1:4" ht="15.75" thickBot="1"/>
    <row r="2" spans="1:4" ht="15.75" thickBot="1">
      <c r="A2" s="53" t="s">
        <v>92</v>
      </c>
      <c r="B2" s="54">
        <v>0.14583333333333334</v>
      </c>
      <c r="C2" s="85"/>
    </row>
    <row r="3" spans="1:4" ht="15.75" thickBot="1">
      <c r="A3" s="53" t="s">
        <v>93</v>
      </c>
      <c r="B3" s="54">
        <v>0.15625</v>
      </c>
    </row>
    <row r="4" spans="1:4" ht="15.75" thickBot="1">
      <c r="A4" s="53" t="s">
        <v>187</v>
      </c>
      <c r="B4" s="54">
        <v>0.16666666666666666</v>
      </c>
    </row>
    <row r="5" spans="1:4" ht="15.75" thickBot="1">
      <c r="A5" s="53" t="s">
        <v>188</v>
      </c>
      <c r="B5" s="54">
        <v>8.3333333333333329E-2</v>
      </c>
    </row>
    <row r="6" spans="1:4" ht="15.75" thickBot="1">
      <c r="A6" s="53" t="s">
        <v>94</v>
      </c>
      <c r="B6" s="54">
        <v>1.1230787037037038</v>
      </c>
    </row>
    <row r="7" spans="1:4" ht="15.75" thickBot="1">
      <c r="A7" s="53" t="s">
        <v>95</v>
      </c>
      <c r="B7" s="54">
        <v>1.1128472222222221</v>
      </c>
      <c r="C7" s="85"/>
    </row>
    <row r="8" spans="1:4" ht="15.75" thickBot="1">
      <c r="A8" s="53" t="s">
        <v>101</v>
      </c>
      <c r="B8" s="54">
        <f>B6-B2</f>
        <v>0.9772453703703704</v>
      </c>
    </row>
    <row r="9" spans="1:4" ht="15.75" thickBot="1">
      <c r="A9" s="53" t="s">
        <v>102</v>
      </c>
      <c r="B9" s="54">
        <f>B7-B3</f>
        <v>0.9565972222222221</v>
      </c>
    </row>
    <row r="10" spans="1:4" ht="15.75" thickBot="1"/>
    <row r="11" spans="1:4" ht="15.75" thickBot="1">
      <c r="A11" s="55" t="s">
        <v>96</v>
      </c>
      <c r="B11" s="88">
        <f>(B6-B2)*24+(B7-B3)*24</f>
        <v>46.412222222222219</v>
      </c>
      <c r="D11" s="52"/>
    </row>
    <row r="12" spans="1:4" ht="15.75" thickBot="1">
      <c r="A12" s="53" t="s">
        <v>182</v>
      </c>
      <c r="B12" s="56">
        <f>B11*2/22</f>
        <v>4.2192929292929291</v>
      </c>
      <c r="D12" s="52"/>
    </row>
    <row r="13" spans="1:4" ht="15.75" thickBot="1">
      <c r="A13" s="53" t="s">
        <v>183</v>
      </c>
      <c r="B13" s="56">
        <f>B11*1/22</f>
        <v>2.1096464646464645</v>
      </c>
      <c r="D13" s="52"/>
    </row>
    <row r="14" spans="1:4" ht="15.75" thickBot="1">
      <c r="A14" s="53" t="s">
        <v>184</v>
      </c>
      <c r="B14" s="56">
        <f>B11*14/22</f>
        <v>29.535050505050503</v>
      </c>
      <c r="D14" s="52"/>
    </row>
    <row r="15" spans="1:4" ht="15.75" thickBot="1">
      <c r="A15" s="53" t="s">
        <v>185</v>
      </c>
      <c r="B15" s="56">
        <f>B11*3/22</f>
        <v>6.3289393939393932</v>
      </c>
      <c r="D15" s="52"/>
    </row>
    <row r="16" spans="1:4" ht="15.75" thickBot="1">
      <c r="A16" s="53" t="s">
        <v>186</v>
      </c>
      <c r="B16" s="56">
        <f>B11*2/22</f>
        <v>4.2192929292929291</v>
      </c>
      <c r="D16" s="52"/>
    </row>
    <row r="17" spans="1:4" ht="15.75" thickBot="1">
      <c r="A17" s="55" t="s">
        <v>97</v>
      </c>
      <c r="B17" s="87">
        <f>B11*365</f>
        <v>16940.461111111112</v>
      </c>
    </row>
    <row r="18" spans="1:4" ht="15.75" thickBot="1">
      <c r="A18" s="53" t="s">
        <v>182</v>
      </c>
      <c r="B18" s="57">
        <f>B12*365</f>
        <v>1540.0419191919191</v>
      </c>
    </row>
    <row r="19" spans="1:4" ht="15.75" thickBot="1">
      <c r="A19" s="53" t="s">
        <v>183</v>
      </c>
      <c r="B19" s="57">
        <f t="shared" ref="B19:B22" si="0">B13*365</f>
        <v>770.02095959595954</v>
      </c>
    </row>
    <row r="20" spans="1:4" ht="15.75" thickBot="1">
      <c r="A20" s="53" t="s">
        <v>184</v>
      </c>
      <c r="B20" s="57">
        <f t="shared" si="0"/>
        <v>10780.293434343434</v>
      </c>
    </row>
    <row r="21" spans="1:4" ht="15.75" thickBot="1">
      <c r="A21" s="53" t="s">
        <v>185</v>
      </c>
      <c r="B21" s="57">
        <f t="shared" si="0"/>
        <v>2310.0628787878786</v>
      </c>
    </row>
    <row r="22" spans="1:4" ht="15.75" thickBot="1">
      <c r="A22" s="53" t="s">
        <v>186</v>
      </c>
      <c r="B22" s="57">
        <f t="shared" si="0"/>
        <v>1540.0419191919191</v>
      </c>
      <c r="D22" s="86"/>
    </row>
    <row r="23" spans="1:4" ht="15.75" thickBot="1"/>
    <row r="24" spans="1:4" ht="15.75" thickBot="1">
      <c r="A24" s="55" t="s">
        <v>98</v>
      </c>
      <c r="B24" s="61">
        <v>1420</v>
      </c>
    </row>
    <row r="25" spans="1:4" ht="15.75" thickBot="1">
      <c r="A25" s="53" t="s">
        <v>179</v>
      </c>
      <c r="B25" s="29">
        <v>2</v>
      </c>
    </row>
    <row r="26" spans="1:4" ht="15.75" thickBot="1">
      <c r="A26" s="53" t="s">
        <v>178</v>
      </c>
      <c r="B26" s="29">
        <v>4</v>
      </c>
    </row>
    <row r="27" spans="1:4" ht="15.75" thickBot="1">
      <c r="A27" s="53" t="s">
        <v>99</v>
      </c>
      <c r="B27" s="29">
        <f>'Número de tranvías'!B12</f>
        <v>8</v>
      </c>
    </row>
    <row r="28" spans="1:4" ht="15.75" thickBot="1">
      <c r="A28" s="53" t="s">
        <v>180</v>
      </c>
      <c r="B28" s="29">
        <v>4</v>
      </c>
    </row>
    <row r="29" spans="1:4" ht="15.75" thickBot="1">
      <c r="A29" s="53" t="s">
        <v>181</v>
      </c>
      <c r="B29" s="29">
        <v>2</v>
      </c>
    </row>
    <row r="30" spans="1:4" ht="15.75" thickBot="1">
      <c r="A30" s="58" t="s">
        <v>100</v>
      </c>
      <c r="B30" s="61">
        <f>SUM(B31:B35)</f>
        <v>77</v>
      </c>
    </row>
    <row r="31" spans="1:4" ht="15.75" thickBot="1">
      <c r="A31" s="53" t="s">
        <v>182</v>
      </c>
      <c r="B31" s="29">
        <f>ROUNDUP(B25*B18/$B$24,0)</f>
        <v>3</v>
      </c>
    </row>
    <row r="32" spans="1:4" ht="15.75" thickBot="1">
      <c r="A32" s="53" t="s">
        <v>183</v>
      </c>
      <c r="B32" s="29">
        <f t="shared" ref="B32:B35" si="1">ROUNDUP(B26*B19/$B$24,0)</f>
        <v>3</v>
      </c>
    </row>
    <row r="33" spans="1:2" ht="15.75" thickBot="1">
      <c r="A33" s="53" t="s">
        <v>184</v>
      </c>
      <c r="B33" s="29">
        <f t="shared" si="1"/>
        <v>61</v>
      </c>
    </row>
    <row r="34" spans="1:2" ht="15.75" thickBot="1">
      <c r="A34" s="53" t="s">
        <v>185</v>
      </c>
      <c r="B34" s="29">
        <f t="shared" si="1"/>
        <v>7</v>
      </c>
    </row>
    <row r="35" spans="1:2" ht="15.75" thickBot="1">
      <c r="A35" s="53" t="s">
        <v>186</v>
      </c>
      <c r="B35" s="29">
        <f t="shared" si="1"/>
        <v>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1A7E-21E0-439B-BF1D-E0E6C54E8550}">
  <sheetPr>
    <pageSetUpPr fitToPage="1"/>
  </sheetPr>
  <dimension ref="A1:X47"/>
  <sheetViews>
    <sheetView tabSelected="1" workbookViewId="0">
      <pane xSplit="1" topLeftCell="B1" activePane="topRight" state="frozen"/>
      <selection activeCell="A16" sqref="A16"/>
      <selection pane="topRight" activeCell="B17" sqref="B17"/>
    </sheetView>
  </sheetViews>
  <sheetFormatPr baseColWidth="10" defaultRowHeight="15"/>
  <cols>
    <col min="1" max="1" width="24.42578125" customWidth="1"/>
    <col min="2" max="27" width="14.7109375" customWidth="1"/>
  </cols>
  <sheetData>
    <row r="1" spans="1:3" ht="15.75" thickBot="1"/>
    <row r="2" spans="1:3" ht="15.75" thickBot="1">
      <c r="A2" s="53" t="s">
        <v>103</v>
      </c>
      <c r="B2" s="47">
        <f>'Número de tranvías'!B12+2</f>
        <v>10</v>
      </c>
    </row>
    <row r="3" spans="1:3" ht="15.75" thickBot="1">
      <c r="A3" s="53" t="s">
        <v>104</v>
      </c>
      <c r="B3" s="64">
        <f>'Producción kilométrica'!L5/B2</f>
        <v>84197.052439999999</v>
      </c>
    </row>
    <row r="4" spans="1:3" ht="15.75" thickBot="1">
      <c r="A4" s="53" t="s">
        <v>110</v>
      </c>
      <c r="B4" s="47">
        <v>40</v>
      </c>
    </row>
    <row r="5" spans="1:3" ht="15.75" thickBot="1">
      <c r="A5" s="53" t="s">
        <v>111</v>
      </c>
      <c r="B5" s="47">
        <v>2.4</v>
      </c>
    </row>
    <row r="6" spans="1:3" ht="15.75" thickBot="1"/>
    <row r="7" spans="1:3" ht="15.75" thickBot="1">
      <c r="A7" s="51" t="s">
        <v>105</v>
      </c>
      <c r="B7" s="117" t="s">
        <v>118</v>
      </c>
      <c r="C7" s="118"/>
    </row>
    <row r="8" spans="1:3" ht="15.75" thickBot="1">
      <c r="A8" s="68" t="s">
        <v>114</v>
      </c>
      <c r="B8" s="68" t="s">
        <v>135</v>
      </c>
      <c r="C8" s="68" t="s">
        <v>109</v>
      </c>
    </row>
    <row r="9" spans="1:3" ht="15.75" thickBot="1">
      <c r="A9" s="62" t="s">
        <v>133</v>
      </c>
      <c r="B9" s="64">
        <v>52</v>
      </c>
      <c r="C9" s="47">
        <v>1</v>
      </c>
    </row>
    <row r="10" spans="1:3" ht="15.75" thickBot="1">
      <c r="A10" s="62" t="s">
        <v>191</v>
      </c>
      <c r="B10" s="64">
        <v>20000</v>
      </c>
      <c r="C10" s="47">
        <v>20</v>
      </c>
    </row>
    <row r="11" spans="1:3" ht="15.75" thickBot="1">
      <c r="A11" s="62" t="s">
        <v>190</v>
      </c>
      <c r="B11" s="64">
        <v>40000</v>
      </c>
      <c r="C11" s="47">
        <v>40</v>
      </c>
    </row>
    <row r="12" spans="1:3" ht="15.75" thickBot="1">
      <c r="A12" s="62" t="s">
        <v>189</v>
      </c>
      <c r="B12" s="64">
        <v>80000</v>
      </c>
      <c r="C12" s="47">
        <v>100</v>
      </c>
    </row>
    <row r="13" spans="1:3" ht="15.75" thickBot="1">
      <c r="A13" s="62" t="s">
        <v>192</v>
      </c>
      <c r="B13" s="64">
        <v>160000</v>
      </c>
      <c r="C13" s="47">
        <v>123</v>
      </c>
    </row>
    <row r="14" spans="1:3" ht="15.75" thickBot="1">
      <c r="A14" s="62" t="s">
        <v>193</v>
      </c>
      <c r="B14" s="64">
        <v>320000</v>
      </c>
      <c r="C14" s="47">
        <v>150</v>
      </c>
    </row>
    <row r="15" spans="1:3" ht="15.75" thickBot="1">
      <c r="A15" s="62" t="s">
        <v>194</v>
      </c>
      <c r="B15" s="64">
        <v>640000</v>
      </c>
      <c r="C15" s="47">
        <v>1000</v>
      </c>
    </row>
    <row r="16" spans="1:3" ht="15.75" thickBot="1">
      <c r="A16" s="62" t="s">
        <v>136</v>
      </c>
      <c r="B16" s="64">
        <v>20000</v>
      </c>
      <c r="C16" s="47">
        <v>10</v>
      </c>
    </row>
    <row r="17" spans="1:21" ht="15.75" thickBot="1">
      <c r="A17" s="62" t="s">
        <v>137</v>
      </c>
      <c r="B17" s="64">
        <v>240000</v>
      </c>
      <c r="C17" s="47">
        <v>100</v>
      </c>
    </row>
    <row r="18" spans="1:21" ht="15.75" thickBot="1">
      <c r="A18" s="68" t="s">
        <v>115</v>
      </c>
      <c r="B18" s="119" t="s">
        <v>138</v>
      </c>
      <c r="C18" s="100"/>
    </row>
    <row r="19" spans="1:21" ht="15.75" thickBot="1">
      <c r="A19" s="62" t="s">
        <v>106</v>
      </c>
      <c r="B19" s="120">
        <v>20</v>
      </c>
      <c r="C19" s="100"/>
    </row>
    <row r="20" spans="1:21" ht="15.75" thickBot="1">
      <c r="A20" s="62" t="s">
        <v>107</v>
      </c>
      <c r="B20" s="120">
        <v>3</v>
      </c>
      <c r="C20" s="100"/>
    </row>
    <row r="21" spans="1:21" ht="15.75" thickBot="1">
      <c r="A21" s="62" t="s">
        <v>108</v>
      </c>
      <c r="B21" s="120">
        <v>1</v>
      </c>
      <c r="C21" s="100"/>
    </row>
    <row r="22" spans="1:21" ht="15.75" thickBot="1">
      <c r="A22" s="62" t="s">
        <v>134</v>
      </c>
      <c r="B22" s="120">
        <v>5</v>
      </c>
      <c r="C22" s="100"/>
    </row>
    <row r="24" spans="1:21">
      <c r="A24" s="116" t="s">
        <v>112</v>
      </c>
      <c r="B24" s="99"/>
      <c r="C24" s="99"/>
      <c r="D24">
        <v>1595</v>
      </c>
    </row>
    <row r="26" spans="1:21" ht="15.75" thickBot="1"/>
    <row r="27" spans="1:21" ht="15.75" thickBot="1">
      <c r="A27" s="63" t="s">
        <v>113</v>
      </c>
      <c r="B27" s="66">
        <v>1</v>
      </c>
      <c r="C27" s="66">
        <v>2</v>
      </c>
      <c r="D27" s="66">
        <v>3</v>
      </c>
      <c r="E27" s="66">
        <v>4</v>
      </c>
      <c r="F27" s="66">
        <v>5</v>
      </c>
      <c r="G27" s="66">
        <v>6</v>
      </c>
      <c r="H27" s="66">
        <v>7</v>
      </c>
      <c r="I27" s="66">
        <v>8</v>
      </c>
      <c r="J27" s="66">
        <v>9</v>
      </c>
      <c r="K27" s="66">
        <v>10</v>
      </c>
      <c r="L27" s="66">
        <v>11</v>
      </c>
      <c r="M27" s="66">
        <v>12</v>
      </c>
      <c r="N27" s="66">
        <v>13</v>
      </c>
      <c r="O27" s="66">
        <v>14</v>
      </c>
      <c r="P27" s="66">
        <v>15</v>
      </c>
      <c r="Q27" s="66">
        <v>16</v>
      </c>
      <c r="R27" s="66">
        <v>17</v>
      </c>
      <c r="S27" s="66">
        <v>18</v>
      </c>
      <c r="T27" s="66">
        <v>19</v>
      </c>
      <c r="U27" s="66">
        <v>20</v>
      </c>
    </row>
    <row r="28" spans="1:21" ht="15.75" thickBot="1">
      <c r="A28" s="65" t="s">
        <v>116</v>
      </c>
      <c r="B28" s="66">
        <f>B27*$B$3</f>
        <v>84197.052439999999</v>
      </c>
      <c r="C28" s="66">
        <f t="shared" ref="C28:U28" si="0">C27*$B$3</f>
        <v>168394.10488</v>
      </c>
      <c r="D28" s="66">
        <f t="shared" si="0"/>
        <v>252591.15732</v>
      </c>
      <c r="E28" s="66">
        <f t="shared" si="0"/>
        <v>336788.20976</v>
      </c>
      <c r="F28" s="66">
        <f t="shared" si="0"/>
        <v>420985.2622</v>
      </c>
      <c r="G28" s="66">
        <f t="shared" si="0"/>
        <v>505182.31464</v>
      </c>
      <c r="H28" s="66">
        <f t="shared" si="0"/>
        <v>589379.36708</v>
      </c>
      <c r="I28" s="66">
        <f t="shared" si="0"/>
        <v>673576.41952</v>
      </c>
      <c r="J28" s="66">
        <f t="shared" si="0"/>
        <v>757773.47196</v>
      </c>
      <c r="K28" s="66">
        <f t="shared" si="0"/>
        <v>841970.52439999999</v>
      </c>
      <c r="L28" s="66">
        <f t="shared" si="0"/>
        <v>926167.57683999999</v>
      </c>
      <c r="M28" s="66">
        <f t="shared" si="0"/>
        <v>1010364.62928</v>
      </c>
      <c r="N28" s="66">
        <f t="shared" si="0"/>
        <v>1094561.68172</v>
      </c>
      <c r="O28" s="66">
        <f t="shared" si="0"/>
        <v>1178758.73416</v>
      </c>
      <c r="P28" s="66">
        <f t="shared" si="0"/>
        <v>1262955.7866</v>
      </c>
      <c r="Q28" s="66">
        <f t="shared" si="0"/>
        <v>1347152.83904</v>
      </c>
      <c r="R28" s="66">
        <f t="shared" si="0"/>
        <v>1431349.89148</v>
      </c>
      <c r="S28" s="66">
        <f t="shared" si="0"/>
        <v>1515546.94392</v>
      </c>
      <c r="T28" s="66">
        <f t="shared" si="0"/>
        <v>1599743.99636</v>
      </c>
      <c r="U28" s="66">
        <f t="shared" si="0"/>
        <v>1683941.0488</v>
      </c>
    </row>
    <row r="29" spans="1:21" ht="15.75" thickBot="1">
      <c r="A29" s="65" t="s">
        <v>105</v>
      </c>
      <c r="B29" s="66" t="s">
        <v>117</v>
      </c>
      <c r="C29" s="66" t="s">
        <v>117</v>
      </c>
      <c r="D29" s="66" t="s">
        <v>117</v>
      </c>
      <c r="E29" s="66" t="s">
        <v>117</v>
      </c>
      <c r="F29" s="66" t="s">
        <v>117</v>
      </c>
      <c r="G29" s="66" t="s">
        <v>117</v>
      </c>
      <c r="H29" s="66" t="s">
        <v>117</v>
      </c>
      <c r="I29" s="66" t="s">
        <v>117</v>
      </c>
      <c r="J29" s="66" t="s">
        <v>117</v>
      </c>
      <c r="K29" s="66" t="s">
        <v>117</v>
      </c>
      <c r="L29" s="66" t="s">
        <v>117</v>
      </c>
      <c r="M29" s="66" t="s">
        <v>117</v>
      </c>
      <c r="N29" s="66" t="s">
        <v>117</v>
      </c>
      <c r="O29" s="66" t="s">
        <v>117</v>
      </c>
      <c r="P29" s="66" t="s">
        <v>117</v>
      </c>
      <c r="Q29" s="66" t="s">
        <v>117</v>
      </c>
      <c r="R29" s="66" t="s">
        <v>117</v>
      </c>
      <c r="S29" s="66" t="s">
        <v>117</v>
      </c>
      <c r="T29" s="66" t="s">
        <v>117</v>
      </c>
      <c r="U29" s="66" t="s">
        <v>117</v>
      </c>
    </row>
    <row r="30" spans="1:21" ht="15.75" thickBot="1">
      <c r="A30" s="62" t="s">
        <v>133</v>
      </c>
      <c r="B30" s="67">
        <f>$B$9*$C$9*$B$2</f>
        <v>520</v>
      </c>
      <c r="C30" s="67">
        <f t="shared" ref="C30:U30" si="1">$B$9*$C$9*$B$2</f>
        <v>520</v>
      </c>
      <c r="D30" s="67">
        <f t="shared" si="1"/>
        <v>520</v>
      </c>
      <c r="E30" s="67">
        <f t="shared" si="1"/>
        <v>520</v>
      </c>
      <c r="F30" s="67">
        <f t="shared" si="1"/>
        <v>520</v>
      </c>
      <c r="G30" s="67">
        <f t="shared" si="1"/>
        <v>520</v>
      </c>
      <c r="H30" s="67">
        <f t="shared" si="1"/>
        <v>520</v>
      </c>
      <c r="I30" s="67">
        <f t="shared" si="1"/>
        <v>520</v>
      </c>
      <c r="J30" s="67">
        <f t="shared" si="1"/>
        <v>520</v>
      </c>
      <c r="K30" s="67">
        <f t="shared" si="1"/>
        <v>520</v>
      </c>
      <c r="L30" s="67">
        <f t="shared" si="1"/>
        <v>520</v>
      </c>
      <c r="M30" s="67">
        <f t="shared" si="1"/>
        <v>520</v>
      </c>
      <c r="N30" s="67">
        <f t="shared" si="1"/>
        <v>520</v>
      </c>
      <c r="O30" s="67">
        <f t="shared" si="1"/>
        <v>520</v>
      </c>
      <c r="P30" s="67">
        <f t="shared" si="1"/>
        <v>520</v>
      </c>
      <c r="Q30" s="67">
        <f t="shared" si="1"/>
        <v>520</v>
      </c>
      <c r="R30" s="67">
        <f t="shared" si="1"/>
        <v>520</v>
      </c>
      <c r="S30" s="67">
        <f t="shared" si="1"/>
        <v>520</v>
      </c>
      <c r="T30" s="67">
        <f t="shared" si="1"/>
        <v>520</v>
      </c>
      <c r="U30" s="67">
        <f t="shared" si="1"/>
        <v>520</v>
      </c>
    </row>
    <row r="31" spans="1:21" ht="15.75" thickBot="1">
      <c r="A31" s="62" t="s">
        <v>191</v>
      </c>
      <c r="B31" s="67">
        <f>2*$B$2*$C$10</f>
        <v>400</v>
      </c>
      <c r="C31" s="67">
        <f t="shared" ref="C31:U31" si="2">2*$B$2*$C$10</f>
        <v>400</v>
      </c>
      <c r="D31" s="67">
        <f t="shared" si="2"/>
        <v>400</v>
      </c>
      <c r="E31" s="67">
        <f t="shared" si="2"/>
        <v>400</v>
      </c>
      <c r="F31" s="67">
        <f t="shared" si="2"/>
        <v>400</v>
      </c>
      <c r="G31" s="67">
        <f t="shared" si="2"/>
        <v>400</v>
      </c>
      <c r="H31" s="67">
        <f t="shared" si="2"/>
        <v>400</v>
      </c>
      <c r="I31" s="67">
        <f t="shared" si="2"/>
        <v>400</v>
      </c>
      <c r="J31" s="67">
        <f t="shared" si="2"/>
        <v>400</v>
      </c>
      <c r="K31" s="67">
        <f t="shared" si="2"/>
        <v>400</v>
      </c>
      <c r="L31" s="67">
        <f t="shared" si="2"/>
        <v>400</v>
      </c>
      <c r="M31" s="67">
        <f t="shared" si="2"/>
        <v>400</v>
      </c>
      <c r="N31" s="67">
        <f t="shared" si="2"/>
        <v>400</v>
      </c>
      <c r="O31" s="67">
        <f t="shared" si="2"/>
        <v>400</v>
      </c>
      <c r="P31" s="67">
        <f t="shared" si="2"/>
        <v>400</v>
      </c>
      <c r="Q31" s="67">
        <f t="shared" si="2"/>
        <v>400</v>
      </c>
      <c r="R31" s="67">
        <f t="shared" si="2"/>
        <v>400</v>
      </c>
      <c r="S31" s="67">
        <f t="shared" si="2"/>
        <v>400</v>
      </c>
      <c r="T31" s="67">
        <f t="shared" si="2"/>
        <v>400</v>
      </c>
      <c r="U31" s="67">
        <f t="shared" si="2"/>
        <v>400</v>
      </c>
    </row>
    <row r="32" spans="1:21" ht="15.75" thickBot="1">
      <c r="A32" s="62" t="s">
        <v>190</v>
      </c>
      <c r="B32" s="67">
        <f>1*$B$2*$C$11</f>
        <v>400</v>
      </c>
      <c r="C32" s="67">
        <f t="shared" ref="C32:U32" si="3">1*$B$2*$C$11</f>
        <v>400</v>
      </c>
      <c r="D32" s="67">
        <f t="shared" si="3"/>
        <v>400</v>
      </c>
      <c r="E32" s="67">
        <f t="shared" si="3"/>
        <v>400</v>
      </c>
      <c r="F32" s="67">
        <f t="shared" si="3"/>
        <v>400</v>
      </c>
      <c r="G32" s="67">
        <f t="shared" si="3"/>
        <v>400</v>
      </c>
      <c r="H32" s="67">
        <f t="shared" si="3"/>
        <v>400</v>
      </c>
      <c r="I32" s="67">
        <f t="shared" si="3"/>
        <v>400</v>
      </c>
      <c r="J32" s="67">
        <f t="shared" si="3"/>
        <v>400</v>
      </c>
      <c r="K32" s="67">
        <f t="shared" si="3"/>
        <v>400</v>
      </c>
      <c r="L32" s="67">
        <f t="shared" si="3"/>
        <v>400</v>
      </c>
      <c r="M32" s="67">
        <f t="shared" si="3"/>
        <v>400</v>
      </c>
      <c r="N32" s="67">
        <f t="shared" si="3"/>
        <v>400</v>
      </c>
      <c r="O32" s="67">
        <f t="shared" si="3"/>
        <v>400</v>
      </c>
      <c r="P32" s="67">
        <f t="shared" si="3"/>
        <v>400</v>
      </c>
      <c r="Q32" s="67">
        <f t="shared" si="3"/>
        <v>400</v>
      </c>
      <c r="R32" s="67">
        <f t="shared" si="3"/>
        <v>400</v>
      </c>
      <c r="S32" s="67">
        <f t="shared" si="3"/>
        <v>400</v>
      </c>
      <c r="T32" s="67">
        <f t="shared" si="3"/>
        <v>400</v>
      </c>
      <c r="U32" s="67">
        <f t="shared" si="3"/>
        <v>400</v>
      </c>
    </row>
    <row r="33" spans="1:24" ht="15.75" thickBot="1">
      <c r="A33" s="62" t="s">
        <v>189</v>
      </c>
      <c r="B33" s="67">
        <f>1*$B$2*$C$12</f>
        <v>1000</v>
      </c>
      <c r="C33" s="67">
        <v>0</v>
      </c>
      <c r="D33" s="67">
        <f t="shared" ref="D33:T33" si="4">1*$B$2*$C$12</f>
        <v>1000</v>
      </c>
      <c r="E33" s="67">
        <v>0</v>
      </c>
      <c r="F33" s="67">
        <v>1000</v>
      </c>
      <c r="G33" s="67">
        <v>0</v>
      </c>
      <c r="H33" s="67">
        <f t="shared" si="4"/>
        <v>1000</v>
      </c>
      <c r="I33" s="67">
        <v>0</v>
      </c>
      <c r="J33" s="67">
        <v>1000</v>
      </c>
      <c r="K33" s="67">
        <v>0</v>
      </c>
      <c r="L33" s="67">
        <f t="shared" si="4"/>
        <v>1000</v>
      </c>
      <c r="M33" s="67">
        <v>0</v>
      </c>
      <c r="N33" s="67">
        <f t="shared" si="4"/>
        <v>1000</v>
      </c>
      <c r="O33" s="67">
        <v>0</v>
      </c>
      <c r="P33" s="67">
        <f t="shared" si="4"/>
        <v>1000</v>
      </c>
      <c r="Q33" s="67">
        <v>0</v>
      </c>
      <c r="R33" s="67">
        <f t="shared" si="4"/>
        <v>1000</v>
      </c>
      <c r="S33" s="67">
        <v>0</v>
      </c>
      <c r="T33" s="67">
        <f t="shared" si="4"/>
        <v>1000</v>
      </c>
      <c r="U33" s="67">
        <v>0</v>
      </c>
    </row>
    <row r="34" spans="1:24" ht="15.75" thickBot="1">
      <c r="A34" s="62" t="s">
        <v>192</v>
      </c>
      <c r="B34" s="47">
        <v>0</v>
      </c>
      <c r="C34" s="67">
        <f>1*$B$2*$C$13</f>
        <v>1230</v>
      </c>
      <c r="D34" s="67">
        <v>0</v>
      </c>
      <c r="E34" s="67">
        <v>0</v>
      </c>
      <c r="F34" s="67">
        <v>0</v>
      </c>
      <c r="G34" s="67">
        <f>1*$B$2*$C$13</f>
        <v>1230</v>
      </c>
      <c r="H34" s="67">
        <v>0</v>
      </c>
      <c r="I34" s="67">
        <v>0</v>
      </c>
      <c r="J34" s="67">
        <v>0</v>
      </c>
      <c r="K34" s="67">
        <f>1*$B$2*$C$13</f>
        <v>1230</v>
      </c>
      <c r="L34" s="67">
        <v>0</v>
      </c>
      <c r="M34" s="67">
        <v>0</v>
      </c>
      <c r="N34" s="67">
        <v>0</v>
      </c>
      <c r="O34" s="67">
        <v>1230</v>
      </c>
      <c r="P34" s="67">
        <v>0</v>
      </c>
      <c r="Q34" s="67">
        <v>0</v>
      </c>
      <c r="R34" s="67">
        <v>0</v>
      </c>
      <c r="S34" s="67">
        <v>1230</v>
      </c>
      <c r="T34" s="67">
        <v>0</v>
      </c>
      <c r="U34" s="67">
        <v>0</v>
      </c>
    </row>
    <row r="35" spans="1:24" ht="15.75" thickBot="1">
      <c r="A35" s="62" t="s">
        <v>193</v>
      </c>
      <c r="B35" s="47">
        <v>0</v>
      </c>
      <c r="C35" s="47">
        <v>0</v>
      </c>
      <c r="D35" s="47">
        <v>0</v>
      </c>
      <c r="E35" s="67">
        <f>1*$B$2*$C$14</f>
        <v>1500</v>
      </c>
      <c r="F35" s="47">
        <v>0</v>
      </c>
      <c r="G35" s="47">
        <v>0</v>
      </c>
      <c r="H35" s="47">
        <v>0</v>
      </c>
      <c r="I35" s="67">
        <v>0</v>
      </c>
      <c r="J35" s="67">
        <v>0</v>
      </c>
      <c r="K35" s="47">
        <v>0</v>
      </c>
      <c r="L35" s="47">
        <v>0</v>
      </c>
      <c r="M35" s="67">
        <f>1*$B$2*$C$14</f>
        <v>1500</v>
      </c>
      <c r="N35" s="47">
        <v>0</v>
      </c>
      <c r="O35" s="47">
        <v>0</v>
      </c>
      <c r="P35" s="47">
        <v>0</v>
      </c>
      <c r="Q35" s="67">
        <v>0</v>
      </c>
      <c r="R35" s="47">
        <v>0</v>
      </c>
      <c r="S35" s="67">
        <v>0</v>
      </c>
      <c r="T35" s="47">
        <v>0</v>
      </c>
      <c r="U35" s="67">
        <v>1500</v>
      </c>
    </row>
    <row r="36" spans="1:24" ht="15.75" thickBot="1">
      <c r="A36" s="62" t="s">
        <v>194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67">
        <f>1*$B$2*$C$15</f>
        <v>10000</v>
      </c>
      <c r="J36" s="6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67">
        <v>10000</v>
      </c>
      <c r="R36" s="47">
        <v>0</v>
      </c>
      <c r="S36" s="67">
        <v>0</v>
      </c>
      <c r="T36" s="47">
        <v>0</v>
      </c>
      <c r="U36" s="47">
        <v>0</v>
      </c>
      <c r="V36" s="47"/>
      <c r="W36" s="47"/>
      <c r="X36" s="47"/>
    </row>
    <row r="37" spans="1:24" ht="15.75" thickBot="1">
      <c r="A37" s="62" t="s">
        <v>136</v>
      </c>
      <c r="B37" s="47">
        <f>3*$B$2*$C$16</f>
        <v>300</v>
      </c>
      <c r="C37" s="47">
        <f t="shared" ref="C37:U37" si="5">3*$B$2*$C$16</f>
        <v>300</v>
      </c>
      <c r="D37" s="47">
        <f t="shared" si="5"/>
        <v>300</v>
      </c>
      <c r="E37" s="47">
        <f t="shared" si="5"/>
        <v>300</v>
      </c>
      <c r="F37" s="47">
        <f t="shared" si="5"/>
        <v>300</v>
      </c>
      <c r="G37" s="47">
        <f t="shared" si="5"/>
        <v>300</v>
      </c>
      <c r="H37" s="47">
        <f t="shared" si="5"/>
        <v>300</v>
      </c>
      <c r="I37" s="47">
        <f t="shared" si="5"/>
        <v>300</v>
      </c>
      <c r="J37" s="47">
        <f t="shared" si="5"/>
        <v>300</v>
      </c>
      <c r="K37" s="47">
        <f t="shared" si="5"/>
        <v>300</v>
      </c>
      <c r="L37" s="47">
        <f t="shared" si="5"/>
        <v>300</v>
      </c>
      <c r="M37" s="47">
        <f t="shared" si="5"/>
        <v>300</v>
      </c>
      <c r="N37" s="47">
        <f t="shared" si="5"/>
        <v>300</v>
      </c>
      <c r="O37" s="47">
        <f t="shared" si="5"/>
        <v>300</v>
      </c>
      <c r="P37" s="47">
        <f t="shared" si="5"/>
        <v>300</v>
      </c>
      <c r="Q37" s="47">
        <f t="shared" si="5"/>
        <v>300</v>
      </c>
      <c r="R37" s="47">
        <f t="shared" si="5"/>
        <v>300</v>
      </c>
      <c r="S37" s="47">
        <f t="shared" si="5"/>
        <v>300</v>
      </c>
      <c r="T37" s="47">
        <f t="shared" si="5"/>
        <v>300</v>
      </c>
      <c r="U37" s="47">
        <f t="shared" si="5"/>
        <v>300</v>
      </c>
    </row>
    <row r="38" spans="1:24" ht="15.75" thickBot="1">
      <c r="A38" s="62" t="s">
        <v>137</v>
      </c>
      <c r="B38" s="47">
        <v>0</v>
      </c>
      <c r="C38" s="47">
        <v>0</v>
      </c>
      <c r="D38" s="47">
        <v>0</v>
      </c>
      <c r="E38" s="47">
        <f>$B$2*$C$17</f>
        <v>1000</v>
      </c>
      <c r="F38" s="47">
        <v>0</v>
      </c>
      <c r="G38" s="47">
        <v>0</v>
      </c>
      <c r="H38" s="47">
        <f>$B$2*$C$17</f>
        <v>1000</v>
      </c>
      <c r="I38" s="47">
        <v>0</v>
      </c>
      <c r="J38" s="47">
        <v>0</v>
      </c>
      <c r="K38" s="47">
        <v>0</v>
      </c>
      <c r="L38" s="47">
        <f>$B$2*$C$17</f>
        <v>1000</v>
      </c>
      <c r="M38" s="47">
        <v>0</v>
      </c>
      <c r="N38" s="47">
        <v>0</v>
      </c>
      <c r="O38" s="47">
        <f>$B$2*$C$17</f>
        <v>1000</v>
      </c>
      <c r="P38" s="47">
        <v>0</v>
      </c>
      <c r="Q38" s="47">
        <v>0</v>
      </c>
      <c r="R38" s="47">
        <v>0</v>
      </c>
      <c r="S38" s="47">
        <f>$B$2*$C$17</f>
        <v>1000</v>
      </c>
      <c r="T38" s="47">
        <v>0</v>
      </c>
      <c r="U38" s="47">
        <v>0</v>
      </c>
    </row>
    <row r="39" spans="1:24" s="73" customFormat="1" ht="15.75" thickBot="1">
      <c r="A39" s="71" t="s">
        <v>119</v>
      </c>
      <c r="B39" s="72">
        <f>SUM(B30:B38)</f>
        <v>2620</v>
      </c>
      <c r="C39" s="72">
        <f t="shared" ref="C39:U39" si="6">SUM(C30:C38)</f>
        <v>2850</v>
      </c>
      <c r="D39" s="72">
        <f t="shared" si="6"/>
        <v>2620</v>
      </c>
      <c r="E39" s="72">
        <f t="shared" si="6"/>
        <v>4120</v>
      </c>
      <c r="F39" s="72">
        <f t="shared" si="6"/>
        <v>2620</v>
      </c>
      <c r="G39" s="72">
        <f t="shared" si="6"/>
        <v>2850</v>
      </c>
      <c r="H39" s="72">
        <f t="shared" si="6"/>
        <v>3620</v>
      </c>
      <c r="I39" s="72">
        <f t="shared" si="6"/>
        <v>11620</v>
      </c>
      <c r="J39" s="72">
        <f t="shared" si="6"/>
        <v>2620</v>
      </c>
      <c r="K39" s="72">
        <f t="shared" si="6"/>
        <v>2850</v>
      </c>
      <c r="L39" s="72">
        <f t="shared" si="6"/>
        <v>3620</v>
      </c>
      <c r="M39" s="72">
        <f t="shared" si="6"/>
        <v>3120</v>
      </c>
      <c r="N39" s="72">
        <f t="shared" si="6"/>
        <v>2620</v>
      </c>
      <c r="O39" s="72">
        <f t="shared" si="6"/>
        <v>3850</v>
      </c>
      <c r="P39" s="72">
        <f t="shared" si="6"/>
        <v>2620</v>
      </c>
      <c r="Q39" s="72">
        <f t="shared" si="6"/>
        <v>11620</v>
      </c>
      <c r="R39" s="72">
        <f t="shared" si="6"/>
        <v>2620</v>
      </c>
      <c r="S39" s="72">
        <f t="shared" si="6"/>
        <v>3850</v>
      </c>
      <c r="T39" s="72">
        <f t="shared" si="6"/>
        <v>2620</v>
      </c>
      <c r="U39" s="72">
        <f t="shared" si="6"/>
        <v>3120</v>
      </c>
    </row>
    <row r="40" spans="1:24" ht="15.75" thickBot="1">
      <c r="A40" s="62" t="s">
        <v>106</v>
      </c>
      <c r="B40" s="64">
        <f>$B19*(B$30+B$31+B$32+B$33+B$37)/100</f>
        <v>524</v>
      </c>
      <c r="C40" s="64">
        <f>$B19*(C$30+C$31+C$32+C$33+C$37)/100</f>
        <v>324</v>
      </c>
      <c r="D40" s="64">
        <f t="shared" ref="D40:U40" si="7">$B19*(D$30+D$31+D$32+D$33+D$37)/100</f>
        <v>524</v>
      </c>
      <c r="E40" s="64">
        <f t="shared" si="7"/>
        <v>324</v>
      </c>
      <c r="F40" s="64">
        <f t="shared" si="7"/>
        <v>524</v>
      </c>
      <c r="G40" s="64">
        <f t="shared" si="7"/>
        <v>324</v>
      </c>
      <c r="H40" s="64">
        <f t="shared" si="7"/>
        <v>524</v>
      </c>
      <c r="I40" s="64">
        <f t="shared" si="7"/>
        <v>324</v>
      </c>
      <c r="J40" s="64">
        <f t="shared" si="7"/>
        <v>524</v>
      </c>
      <c r="K40" s="64">
        <f t="shared" si="7"/>
        <v>324</v>
      </c>
      <c r="L40" s="64">
        <f t="shared" si="7"/>
        <v>524</v>
      </c>
      <c r="M40" s="64">
        <f t="shared" si="7"/>
        <v>324</v>
      </c>
      <c r="N40" s="64">
        <f t="shared" si="7"/>
        <v>524</v>
      </c>
      <c r="O40" s="64">
        <f t="shared" si="7"/>
        <v>324</v>
      </c>
      <c r="P40" s="64">
        <f t="shared" si="7"/>
        <v>524</v>
      </c>
      <c r="Q40" s="64">
        <f t="shared" si="7"/>
        <v>324</v>
      </c>
      <c r="R40" s="64">
        <f t="shared" si="7"/>
        <v>524</v>
      </c>
      <c r="S40" s="64">
        <f t="shared" si="7"/>
        <v>324</v>
      </c>
      <c r="T40" s="64">
        <f t="shared" si="7"/>
        <v>524</v>
      </c>
      <c r="U40" s="64">
        <f t="shared" si="7"/>
        <v>324</v>
      </c>
    </row>
    <row r="41" spans="1:24" ht="15.75" thickBot="1">
      <c r="A41" s="62" t="s">
        <v>107</v>
      </c>
      <c r="B41" s="64">
        <f>$B20*(B$30+B$31+B$32+B$33+B$37)/100</f>
        <v>78.599999999999994</v>
      </c>
      <c r="C41" s="64">
        <f t="shared" ref="C41:U41" si="8">$B20*(C$30+C$31+C$32+C$33+C$37)/100</f>
        <v>48.6</v>
      </c>
      <c r="D41" s="64">
        <f t="shared" si="8"/>
        <v>78.599999999999994</v>
      </c>
      <c r="E41" s="64">
        <f t="shared" si="8"/>
        <v>48.6</v>
      </c>
      <c r="F41" s="64">
        <f t="shared" si="8"/>
        <v>78.599999999999994</v>
      </c>
      <c r="G41" s="64">
        <f t="shared" si="8"/>
        <v>48.6</v>
      </c>
      <c r="H41" s="64">
        <f t="shared" si="8"/>
        <v>78.599999999999994</v>
      </c>
      <c r="I41" s="64">
        <f t="shared" si="8"/>
        <v>48.6</v>
      </c>
      <c r="J41" s="64">
        <f t="shared" si="8"/>
        <v>78.599999999999994</v>
      </c>
      <c r="K41" s="64">
        <f t="shared" si="8"/>
        <v>48.6</v>
      </c>
      <c r="L41" s="64">
        <f t="shared" si="8"/>
        <v>78.599999999999994</v>
      </c>
      <c r="M41" s="64">
        <f t="shared" si="8"/>
        <v>48.6</v>
      </c>
      <c r="N41" s="64">
        <f t="shared" si="8"/>
        <v>78.599999999999994</v>
      </c>
      <c r="O41" s="64">
        <f t="shared" si="8"/>
        <v>48.6</v>
      </c>
      <c r="P41" s="64">
        <f t="shared" si="8"/>
        <v>78.599999999999994</v>
      </c>
      <c r="Q41" s="64">
        <f t="shared" si="8"/>
        <v>48.6</v>
      </c>
      <c r="R41" s="64">
        <f t="shared" si="8"/>
        <v>78.599999999999994</v>
      </c>
      <c r="S41" s="64">
        <f t="shared" si="8"/>
        <v>48.6</v>
      </c>
      <c r="T41" s="64">
        <f t="shared" si="8"/>
        <v>78.599999999999994</v>
      </c>
      <c r="U41" s="64">
        <f t="shared" si="8"/>
        <v>48.6</v>
      </c>
    </row>
    <row r="42" spans="1:24" ht="15.75" thickBot="1">
      <c r="A42" s="62" t="s">
        <v>108</v>
      </c>
      <c r="B42" s="64">
        <f>$B21*(B$30+B$31+B$32+B$33+B$37)/100</f>
        <v>26.2</v>
      </c>
      <c r="C42" s="64">
        <f t="shared" ref="C42:U42" si="9">$B21*(C$30+C$31+C$32+C$33+C$37)/100</f>
        <v>16.2</v>
      </c>
      <c r="D42" s="64">
        <f t="shared" si="9"/>
        <v>26.2</v>
      </c>
      <c r="E42" s="64">
        <f t="shared" si="9"/>
        <v>16.2</v>
      </c>
      <c r="F42" s="64">
        <f t="shared" si="9"/>
        <v>26.2</v>
      </c>
      <c r="G42" s="64">
        <f t="shared" si="9"/>
        <v>16.2</v>
      </c>
      <c r="H42" s="64">
        <f t="shared" si="9"/>
        <v>26.2</v>
      </c>
      <c r="I42" s="64">
        <f t="shared" si="9"/>
        <v>16.2</v>
      </c>
      <c r="J42" s="64">
        <f t="shared" si="9"/>
        <v>26.2</v>
      </c>
      <c r="K42" s="64">
        <f t="shared" si="9"/>
        <v>16.2</v>
      </c>
      <c r="L42" s="64">
        <f t="shared" si="9"/>
        <v>26.2</v>
      </c>
      <c r="M42" s="64">
        <f t="shared" si="9"/>
        <v>16.2</v>
      </c>
      <c r="N42" s="64">
        <f t="shared" si="9"/>
        <v>26.2</v>
      </c>
      <c r="O42" s="64">
        <f t="shared" si="9"/>
        <v>16.2</v>
      </c>
      <c r="P42" s="64">
        <f t="shared" si="9"/>
        <v>26.2</v>
      </c>
      <c r="Q42" s="64">
        <f t="shared" si="9"/>
        <v>16.2</v>
      </c>
      <c r="R42" s="64">
        <f t="shared" si="9"/>
        <v>26.2</v>
      </c>
      <c r="S42" s="64">
        <f t="shared" si="9"/>
        <v>16.2</v>
      </c>
      <c r="T42" s="64">
        <f t="shared" si="9"/>
        <v>26.2</v>
      </c>
      <c r="U42" s="64">
        <f t="shared" si="9"/>
        <v>16.2</v>
      </c>
    </row>
    <row r="43" spans="1:24" ht="15.75" thickBot="1">
      <c r="A43" s="62" t="s">
        <v>134</v>
      </c>
      <c r="B43" s="64">
        <f>$B22*(B$30+B$31+B$32+B$33+B$37)/100</f>
        <v>131</v>
      </c>
      <c r="C43" s="64">
        <f t="shared" ref="C43:U43" si="10">$B22*(C$30+C$31+C$32+C$33+C$37)/100</f>
        <v>81</v>
      </c>
      <c r="D43" s="64">
        <f t="shared" si="10"/>
        <v>131</v>
      </c>
      <c r="E43" s="64">
        <f t="shared" si="10"/>
        <v>81</v>
      </c>
      <c r="F43" s="64">
        <f t="shared" si="10"/>
        <v>131</v>
      </c>
      <c r="G43" s="64">
        <f t="shared" si="10"/>
        <v>81</v>
      </c>
      <c r="H43" s="64">
        <f t="shared" si="10"/>
        <v>131</v>
      </c>
      <c r="I43" s="64">
        <f t="shared" si="10"/>
        <v>81</v>
      </c>
      <c r="J43" s="64">
        <f t="shared" si="10"/>
        <v>131</v>
      </c>
      <c r="K43" s="64">
        <f t="shared" si="10"/>
        <v>81</v>
      </c>
      <c r="L43" s="64">
        <f t="shared" si="10"/>
        <v>131</v>
      </c>
      <c r="M43" s="64">
        <f t="shared" si="10"/>
        <v>81</v>
      </c>
      <c r="N43" s="64">
        <f t="shared" si="10"/>
        <v>131</v>
      </c>
      <c r="O43" s="64">
        <f t="shared" si="10"/>
        <v>81</v>
      </c>
      <c r="P43" s="64">
        <f t="shared" si="10"/>
        <v>131</v>
      </c>
      <c r="Q43" s="64">
        <f t="shared" si="10"/>
        <v>81</v>
      </c>
      <c r="R43" s="64">
        <f t="shared" si="10"/>
        <v>131</v>
      </c>
      <c r="S43" s="64">
        <f t="shared" si="10"/>
        <v>81</v>
      </c>
      <c r="T43" s="64">
        <f t="shared" si="10"/>
        <v>131</v>
      </c>
      <c r="U43" s="64">
        <f t="shared" si="10"/>
        <v>81</v>
      </c>
    </row>
    <row r="44" spans="1:24" s="73" customFormat="1" ht="15.75" thickBot="1">
      <c r="A44" s="71" t="s">
        <v>139</v>
      </c>
      <c r="B44" s="72">
        <f t="shared" ref="B44:U44" si="11">SUM(B40:B43)</f>
        <v>759.80000000000007</v>
      </c>
      <c r="C44" s="72">
        <f t="shared" si="11"/>
        <v>469.8</v>
      </c>
      <c r="D44" s="72">
        <f t="shared" si="11"/>
        <v>759.80000000000007</v>
      </c>
      <c r="E44" s="72">
        <f t="shared" si="11"/>
        <v>469.8</v>
      </c>
      <c r="F44" s="72">
        <f t="shared" si="11"/>
        <v>759.80000000000007</v>
      </c>
      <c r="G44" s="72">
        <f t="shared" si="11"/>
        <v>469.8</v>
      </c>
      <c r="H44" s="72">
        <f t="shared" si="11"/>
        <v>759.80000000000007</v>
      </c>
      <c r="I44" s="72">
        <f t="shared" si="11"/>
        <v>469.8</v>
      </c>
      <c r="J44" s="72">
        <f t="shared" si="11"/>
        <v>759.80000000000007</v>
      </c>
      <c r="K44" s="72">
        <f t="shared" si="11"/>
        <v>469.8</v>
      </c>
      <c r="L44" s="72">
        <f t="shared" si="11"/>
        <v>759.80000000000007</v>
      </c>
      <c r="M44" s="72">
        <f t="shared" si="11"/>
        <v>469.8</v>
      </c>
      <c r="N44" s="72">
        <f t="shared" si="11"/>
        <v>759.80000000000007</v>
      </c>
      <c r="O44" s="72">
        <f t="shared" si="11"/>
        <v>469.8</v>
      </c>
      <c r="P44" s="72">
        <f t="shared" si="11"/>
        <v>759.80000000000007</v>
      </c>
      <c r="Q44" s="72">
        <f t="shared" si="11"/>
        <v>469.8</v>
      </c>
      <c r="R44" s="72">
        <f t="shared" si="11"/>
        <v>759.80000000000007</v>
      </c>
      <c r="S44" s="72">
        <f t="shared" si="11"/>
        <v>469.8</v>
      </c>
      <c r="T44" s="72">
        <f t="shared" si="11"/>
        <v>759.80000000000007</v>
      </c>
      <c r="U44" s="72">
        <f t="shared" si="11"/>
        <v>469.8</v>
      </c>
    </row>
    <row r="45" spans="1:24" ht="15.75" thickBot="1">
      <c r="A45" s="65" t="s">
        <v>120</v>
      </c>
      <c r="B45" s="70">
        <f t="shared" ref="B45:U45" si="12">B39+B44</f>
        <v>3379.8</v>
      </c>
      <c r="C45" s="70">
        <f t="shared" si="12"/>
        <v>3319.8</v>
      </c>
      <c r="D45" s="70">
        <f t="shared" si="12"/>
        <v>3379.8</v>
      </c>
      <c r="E45" s="70">
        <f t="shared" si="12"/>
        <v>4589.8</v>
      </c>
      <c r="F45" s="70">
        <f t="shared" si="12"/>
        <v>3379.8</v>
      </c>
      <c r="G45" s="70">
        <f t="shared" si="12"/>
        <v>3319.8</v>
      </c>
      <c r="H45" s="70">
        <f t="shared" si="12"/>
        <v>4379.8</v>
      </c>
      <c r="I45" s="70">
        <f t="shared" si="12"/>
        <v>12089.8</v>
      </c>
      <c r="J45" s="70">
        <f t="shared" si="12"/>
        <v>3379.8</v>
      </c>
      <c r="K45" s="70">
        <f t="shared" si="12"/>
        <v>3319.8</v>
      </c>
      <c r="L45" s="70">
        <f t="shared" si="12"/>
        <v>4379.8</v>
      </c>
      <c r="M45" s="70">
        <f t="shared" si="12"/>
        <v>3589.8</v>
      </c>
      <c r="N45" s="70">
        <f t="shared" si="12"/>
        <v>3379.8</v>
      </c>
      <c r="O45" s="70">
        <f t="shared" si="12"/>
        <v>4319.8</v>
      </c>
      <c r="P45" s="70">
        <f t="shared" si="12"/>
        <v>3379.8</v>
      </c>
      <c r="Q45" s="70">
        <f t="shared" si="12"/>
        <v>12089.8</v>
      </c>
      <c r="R45" s="70">
        <f t="shared" si="12"/>
        <v>3379.8</v>
      </c>
      <c r="S45" s="70">
        <f t="shared" si="12"/>
        <v>4319.8</v>
      </c>
      <c r="T45" s="70">
        <f t="shared" si="12"/>
        <v>3379.8</v>
      </c>
      <c r="U45" s="70">
        <f t="shared" si="12"/>
        <v>3589.8</v>
      </c>
    </row>
    <row r="46" spans="1:24" ht="15.75" thickBot="1">
      <c r="A46" s="69" t="s">
        <v>121</v>
      </c>
      <c r="B46" s="49">
        <f>ROUNDUP(B45/$D$24,0)</f>
        <v>3</v>
      </c>
      <c r="C46" s="49">
        <f t="shared" ref="C46:U46" si="13">ROUNDUP(C45/$D$24,0)</f>
        <v>3</v>
      </c>
      <c r="D46" s="49">
        <f t="shared" si="13"/>
        <v>3</v>
      </c>
      <c r="E46" s="49">
        <f t="shared" si="13"/>
        <v>3</v>
      </c>
      <c r="F46" s="49">
        <f t="shared" si="13"/>
        <v>3</v>
      </c>
      <c r="G46" s="49">
        <f t="shared" si="13"/>
        <v>3</v>
      </c>
      <c r="H46" s="49">
        <f t="shared" si="13"/>
        <v>3</v>
      </c>
      <c r="I46" s="49">
        <f t="shared" si="13"/>
        <v>8</v>
      </c>
      <c r="J46" s="49">
        <f t="shared" si="13"/>
        <v>3</v>
      </c>
      <c r="K46" s="49">
        <f t="shared" si="13"/>
        <v>3</v>
      </c>
      <c r="L46" s="49">
        <f t="shared" si="13"/>
        <v>3</v>
      </c>
      <c r="M46" s="49">
        <f t="shared" si="13"/>
        <v>3</v>
      </c>
      <c r="N46" s="49">
        <f t="shared" si="13"/>
        <v>3</v>
      </c>
      <c r="O46" s="49">
        <f t="shared" si="13"/>
        <v>3</v>
      </c>
      <c r="P46" s="49">
        <f t="shared" si="13"/>
        <v>3</v>
      </c>
      <c r="Q46" s="49">
        <f t="shared" si="13"/>
        <v>8</v>
      </c>
      <c r="R46" s="49">
        <f t="shared" si="13"/>
        <v>3</v>
      </c>
      <c r="S46" s="49">
        <f t="shared" si="13"/>
        <v>3</v>
      </c>
      <c r="T46" s="49">
        <f t="shared" si="13"/>
        <v>3</v>
      </c>
      <c r="U46" s="49">
        <f t="shared" si="13"/>
        <v>3</v>
      </c>
      <c r="V46" s="49">
        <f>SUM(B46:U46)</f>
        <v>70</v>
      </c>
    </row>
    <row r="47" spans="1:24" ht="15.75" thickBot="1">
      <c r="A47" s="78" t="s">
        <v>140</v>
      </c>
      <c r="B47" s="79">
        <v>3</v>
      </c>
      <c r="C47" s="79">
        <v>3</v>
      </c>
      <c r="D47" s="79">
        <v>3</v>
      </c>
      <c r="E47" s="79">
        <v>3</v>
      </c>
      <c r="F47" s="79">
        <v>3</v>
      </c>
      <c r="G47" s="79">
        <v>4</v>
      </c>
      <c r="H47" s="79">
        <v>4</v>
      </c>
      <c r="I47" s="79">
        <v>4</v>
      </c>
      <c r="J47" s="79">
        <v>4</v>
      </c>
      <c r="K47" s="79">
        <v>4</v>
      </c>
      <c r="L47" s="79">
        <v>3</v>
      </c>
      <c r="M47" s="79">
        <v>3</v>
      </c>
      <c r="N47" s="79">
        <v>3</v>
      </c>
      <c r="O47" s="79">
        <v>4</v>
      </c>
      <c r="P47" s="79">
        <v>4</v>
      </c>
      <c r="Q47" s="79">
        <v>4</v>
      </c>
      <c r="R47" s="79">
        <v>4</v>
      </c>
      <c r="S47" s="79">
        <v>4</v>
      </c>
      <c r="T47" s="79">
        <v>3</v>
      </c>
      <c r="U47" s="79">
        <v>3</v>
      </c>
      <c r="V47" s="49">
        <f>SUM(B47:U47)</f>
        <v>70</v>
      </c>
    </row>
  </sheetData>
  <mergeCells count="7">
    <mergeCell ref="A24:C24"/>
    <mergeCell ref="B7:C7"/>
    <mergeCell ref="B18:C18"/>
    <mergeCell ref="B19:C19"/>
    <mergeCell ref="B20:C20"/>
    <mergeCell ref="B21:C21"/>
    <mergeCell ref="B22:C22"/>
  </mergeCells>
  <pageMargins left="0.7" right="0.7" top="0.75" bottom="0.75" header="0.3" footer="0.3"/>
  <pageSetup paperSize="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120C-FA7B-4B32-8082-83107A8F6790}">
  <dimension ref="A1:G11"/>
  <sheetViews>
    <sheetView workbookViewId="0">
      <selection activeCell="E12" sqref="E12"/>
    </sheetView>
  </sheetViews>
  <sheetFormatPr baseColWidth="10" defaultRowHeight="15"/>
  <cols>
    <col min="1" max="1" width="10.28515625" customWidth="1"/>
    <col min="2" max="2" width="33" bestFit="1" customWidth="1"/>
    <col min="5" max="5" width="31.140625" bestFit="1" customWidth="1"/>
  </cols>
  <sheetData>
    <row r="1" spans="1:7" ht="15.75" thickBot="1">
      <c r="B1" s="74" t="s">
        <v>126</v>
      </c>
      <c r="C1" s="75">
        <v>7.0000000000000007E-2</v>
      </c>
      <c r="E1" s="74" t="s">
        <v>128</v>
      </c>
      <c r="F1">
        <v>500</v>
      </c>
    </row>
    <row r="2" spans="1:7" ht="15.75" thickBot="1">
      <c r="A2" s="74" t="s">
        <v>125</v>
      </c>
      <c r="B2" s="74" t="s">
        <v>127</v>
      </c>
      <c r="E2" s="74" t="s">
        <v>130</v>
      </c>
      <c r="F2">
        <v>221</v>
      </c>
      <c r="G2" t="s">
        <v>131</v>
      </c>
    </row>
    <row r="3" spans="1:7" ht="15.75" thickBot="1">
      <c r="A3" s="62" t="s">
        <v>122</v>
      </c>
      <c r="B3" s="76">
        <f>ROUNDUP(('Demanda ENERO'!C22+'Demanda ENERO'!D22+'Demanda ENERO'!T22+'Demanda ENERO'!U22)*'Nº controladores'!C1,0)</f>
        <v>2268</v>
      </c>
    </row>
    <row r="4" spans="1:7" ht="15.75" thickBot="1">
      <c r="A4" s="62" t="s">
        <v>123</v>
      </c>
      <c r="B4" s="76">
        <f>ROUNDUP(('Demanda MAYO'!C22*2+'Demanda MAYO'!T22*2)*'Nº controladores'!C1,0)</f>
        <v>2790</v>
      </c>
    </row>
    <row r="5" spans="1:7" ht="15.75" thickBot="1">
      <c r="A5" s="62" t="s">
        <v>124</v>
      </c>
      <c r="B5" s="76">
        <f>ROUNDUP(('Demanda AGOSTO'!C22+'Demanda AGOSTO'!D22+'Demanda AGOSTO'!T22+'Demanda AGOSTO'!U22)*'Nº controladores'!C1,0)</f>
        <v>2900</v>
      </c>
    </row>
    <row r="6" spans="1:7">
      <c r="B6" s="77"/>
    </row>
    <row r="7" spans="1:7" ht="15.75" thickBot="1"/>
    <row r="8" spans="1:7" ht="15.75" thickBot="1">
      <c r="B8" s="74" t="s">
        <v>129</v>
      </c>
    </row>
    <row r="9" spans="1:7" ht="15.75" thickBot="1">
      <c r="B9" s="76">
        <f>(4*B3+4*B4+4*B5)*30</f>
        <v>954960</v>
      </c>
    </row>
    <row r="10" spans="1:7" ht="15.75" thickBot="1">
      <c r="B10" s="69" t="s">
        <v>132</v>
      </c>
    </row>
    <row r="11" spans="1:7">
      <c r="B11" s="47">
        <f>ROUNDUP((B9/F1)/F2,0)</f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3914-2A15-4804-B29E-BDCC332227FF}">
  <dimension ref="B2:AG82"/>
  <sheetViews>
    <sheetView zoomScale="70" zoomScaleNormal="70" workbookViewId="0">
      <selection activeCell="R42" sqref="R42"/>
    </sheetView>
  </sheetViews>
  <sheetFormatPr baseColWidth="10" defaultRowHeight="15.75"/>
  <cols>
    <col min="2" max="2" width="21.85546875" style="2" customWidth="1"/>
    <col min="3" max="16" width="11.42578125" style="2"/>
    <col min="19" max="19" width="21.85546875" customWidth="1"/>
  </cols>
  <sheetData>
    <row r="2" spans="2:33" ht="19.5">
      <c r="B2" s="95" t="s">
        <v>143</v>
      </c>
      <c r="C2" s="95"/>
      <c r="D2" s="95"/>
      <c r="E2" s="95"/>
      <c r="F2" s="1"/>
      <c r="G2" s="1"/>
      <c r="H2" s="1"/>
      <c r="I2" s="1"/>
      <c r="S2" s="95" t="s">
        <v>144</v>
      </c>
      <c r="T2" s="95"/>
      <c r="U2" s="95"/>
      <c r="V2" s="95"/>
      <c r="W2" s="1"/>
      <c r="X2" s="1"/>
      <c r="Y2" s="1"/>
      <c r="Z2" s="1"/>
      <c r="AA2" s="2"/>
      <c r="AB2" s="2"/>
      <c r="AC2" s="2"/>
      <c r="AD2" s="2"/>
      <c r="AE2" s="2"/>
      <c r="AF2" s="2"/>
      <c r="AG2" s="2"/>
    </row>
    <row r="3" spans="2:33">
      <c r="B3" s="96" t="s">
        <v>0</v>
      </c>
      <c r="C3" s="97" t="s">
        <v>1</v>
      </c>
      <c r="D3" s="97"/>
      <c r="E3" s="97"/>
      <c r="F3" s="3"/>
      <c r="G3" s="98"/>
      <c r="H3" s="98"/>
      <c r="I3" s="98"/>
      <c r="S3" s="96" t="s">
        <v>0</v>
      </c>
      <c r="T3" s="97" t="s">
        <v>1</v>
      </c>
      <c r="U3" s="97"/>
      <c r="V3" s="97"/>
      <c r="W3" s="2"/>
      <c r="X3" s="89"/>
      <c r="Y3" s="89"/>
      <c r="Z3" s="89"/>
      <c r="AA3" s="2"/>
      <c r="AB3" s="2"/>
      <c r="AC3" s="2"/>
      <c r="AD3" s="2"/>
      <c r="AE3" s="2"/>
      <c r="AF3" s="2"/>
      <c r="AG3" s="2"/>
    </row>
    <row r="4" spans="2:33" ht="63">
      <c r="B4" s="96"/>
      <c r="C4" s="4" t="s">
        <v>2</v>
      </c>
      <c r="D4" s="4" t="s">
        <v>3</v>
      </c>
      <c r="E4" s="4" t="s">
        <v>4</v>
      </c>
      <c r="F4" s="6"/>
      <c r="G4" s="6"/>
      <c r="H4" s="6"/>
      <c r="I4" s="6"/>
      <c r="S4" s="96"/>
      <c r="T4" s="4" t="s">
        <v>2</v>
      </c>
      <c r="U4" s="4" t="s">
        <v>3</v>
      </c>
      <c r="V4" s="4" t="s">
        <v>4</v>
      </c>
      <c r="W4" s="7"/>
      <c r="X4" s="7"/>
      <c r="Y4" s="7"/>
      <c r="Z4" s="7"/>
      <c r="AA4" s="2"/>
      <c r="AB4" s="2"/>
      <c r="AC4" s="2"/>
      <c r="AD4" s="2"/>
      <c r="AE4" s="2"/>
      <c r="AF4" s="2"/>
      <c r="AG4" s="2"/>
    </row>
    <row r="5" spans="2:33">
      <c r="B5" s="80">
        <v>1</v>
      </c>
      <c r="C5" s="8">
        <v>3714.19</v>
      </c>
      <c r="D5" s="8">
        <v>0</v>
      </c>
      <c r="E5" s="8">
        <f>C5</f>
        <v>3714.19</v>
      </c>
      <c r="G5" s="9"/>
      <c r="H5" s="9"/>
      <c r="I5" s="9"/>
      <c r="P5" s="45"/>
      <c r="S5" s="80">
        <v>16</v>
      </c>
      <c r="T5" s="8">
        <v>2867.62</v>
      </c>
      <c r="U5" s="8">
        <v>0</v>
      </c>
      <c r="V5" s="8">
        <f>T5</f>
        <v>2867.62</v>
      </c>
      <c r="W5" s="2"/>
      <c r="X5" s="9"/>
      <c r="Y5" s="9"/>
      <c r="Z5" s="9"/>
      <c r="AA5" s="2"/>
      <c r="AB5" s="2"/>
      <c r="AC5" s="2"/>
      <c r="AD5" s="2"/>
      <c r="AE5" s="2"/>
      <c r="AF5" s="2"/>
      <c r="AG5" s="2"/>
    </row>
    <row r="6" spans="2:33">
      <c r="B6" s="80">
        <v>2</v>
      </c>
      <c r="C6" s="8">
        <v>2397.13</v>
      </c>
      <c r="D6" s="8">
        <v>31.2485</v>
      </c>
      <c r="E6" s="8">
        <f>E5+C6-D6</f>
        <v>6080.0715</v>
      </c>
      <c r="G6" s="9"/>
      <c r="H6" s="9"/>
      <c r="I6" s="9"/>
      <c r="P6" s="45"/>
      <c r="S6" s="80">
        <v>15</v>
      </c>
      <c r="T6" s="8">
        <v>0</v>
      </c>
      <c r="U6" s="8">
        <v>0</v>
      </c>
      <c r="V6" s="8">
        <f>V5+T6-U6</f>
        <v>2867.62</v>
      </c>
      <c r="W6" s="2"/>
      <c r="X6" s="9"/>
      <c r="Y6" s="9"/>
      <c r="Z6" s="9"/>
      <c r="AA6" s="2"/>
      <c r="AB6" s="2"/>
      <c r="AC6" s="2"/>
      <c r="AD6" s="2"/>
      <c r="AE6" s="2"/>
      <c r="AF6" s="2"/>
      <c r="AG6" s="2"/>
    </row>
    <row r="7" spans="2:33">
      <c r="B7" s="80">
        <v>3</v>
      </c>
      <c r="C7" s="8">
        <v>1639.39</v>
      </c>
      <c r="D7" s="8">
        <v>786.73199999999997</v>
      </c>
      <c r="E7" s="8">
        <f t="shared" ref="E7:E20" si="0">E6+C7-D7</f>
        <v>6932.7295000000004</v>
      </c>
      <c r="G7" s="9"/>
      <c r="H7" s="9"/>
      <c r="I7" s="9"/>
      <c r="P7" s="45"/>
      <c r="S7" s="80">
        <v>14</v>
      </c>
      <c r="T7" s="8">
        <v>989.70799999999997</v>
      </c>
      <c r="U7" s="8">
        <v>47</v>
      </c>
      <c r="V7" s="8">
        <f t="shared" ref="V7:V20" si="1">V6+T7-U7</f>
        <v>3810.328</v>
      </c>
      <c r="W7" s="2"/>
      <c r="X7" s="9"/>
      <c r="Y7" s="9"/>
      <c r="Z7" s="9"/>
      <c r="AA7" s="2"/>
      <c r="AB7" s="2"/>
      <c r="AC7" s="2"/>
      <c r="AD7" s="2"/>
      <c r="AE7" s="2"/>
      <c r="AF7" s="2"/>
      <c r="AG7" s="2"/>
    </row>
    <row r="8" spans="2:33">
      <c r="B8" s="80">
        <v>4</v>
      </c>
      <c r="C8" s="8">
        <v>406.38400000000001</v>
      </c>
      <c r="D8" s="8">
        <v>581.24</v>
      </c>
      <c r="E8" s="8">
        <f t="shared" si="0"/>
        <v>6757.8735000000006</v>
      </c>
      <c r="G8" s="9"/>
      <c r="H8" s="9"/>
      <c r="I8" s="9"/>
      <c r="P8" s="45"/>
      <c r="S8" s="80">
        <v>13</v>
      </c>
      <c r="T8" s="8">
        <v>745.81899999999996</v>
      </c>
      <c r="U8" s="8">
        <v>105</v>
      </c>
      <c r="V8" s="8">
        <f t="shared" si="1"/>
        <v>4451.1469999999999</v>
      </c>
      <c r="W8" s="2"/>
      <c r="X8" s="9"/>
      <c r="Y8" s="9"/>
      <c r="Z8" s="9"/>
      <c r="AA8" s="2"/>
      <c r="AB8" s="2"/>
      <c r="AC8" s="2"/>
      <c r="AD8" s="2"/>
      <c r="AE8" s="2"/>
      <c r="AF8" s="2"/>
      <c r="AG8" s="2"/>
    </row>
    <row r="9" spans="2:33">
      <c r="B9" s="80">
        <v>5</v>
      </c>
      <c r="C9" s="8">
        <v>111.54600000000001</v>
      </c>
      <c r="D9" s="8">
        <v>454.73099999999999</v>
      </c>
      <c r="E9" s="8">
        <f t="shared" si="0"/>
        <v>6414.6885000000011</v>
      </c>
      <c r="G9" s="9"/>
      <c r="H9" s="9"/>
      <c r="I9" s="9"/>
      <c r="P9" s="45"/>
      <c r="S9" s="80">
        <v>12</v>
      </c>
      <c r="T9" s="8">
        <v>356.87799999999999</v>
      </c>
      <c r="U9" s="8">
        <v>34</v>
      </c>
      <c r="V9" s="8">
        <f t="shared" si="1"/>
        <v>4774.0249999999996</v>
      </c>
      <c r="W9" s="2"/>
      <c r="X9" s="9"/>
      <c r="Y9" s="9"/>
      <c r="Z9" s="9"/>
      <c r="AA9" s="2"/>
      <c r="AB9" s="2"/>
      <c r="AC9" s="2"/>
      <c r="AD9" s="2"/>
      <c r="AE9" s="2"/>
      <c r="AF9" s="2"/>
      <c r="AG9" s="2"/>
    </row>
    <row r="10" spans="2:33">
      <c r="B10" s="80">
        <v>6</v>
      </c>
      <c r="C10" s="8">
        <f>0.85*157.887</f>
        <v>134.20394999999999</v>
      </c>
      <c r="D10" s="8">
        <v>526.16200000000003</v>
      </c>
      <c r="E10" s="8">
        <f t="shared" si="0"/>
        <v>6022.7304500000009</v>
      </c>
      <c r="G10" s="9"/>
      <c r="H10" s="9"/>
      <c r="I10" s="9"/>
      <c r="P10" s="45"/>
      <c r="S10" s="80">
        <v>11</v>
      </c>
      <c r="T10" s="8">
        <v>208.482</v>
      </c>
      <c r="U10" s="8">
        <v>99.985500000000002</v>
      </c>
      <c r="V10" s="8">
        <f t="shared" si="1"/>
        <v>4882.5214999999998</v>
      </c>
      <c r="W10" s="2"/>
      <c r="X10" s="9"/>
      <c r="Y10" s="9"/>
      <c r="Z10" s="9"/>
      <c r="AA10" s="2"/>
      <c r="AB10" s="2"/>
      <c r="AC10" s="2"/>
      <c r="AD10" s="2"/>
      <c r="AE10" s="2"/>
      <c r="AF10" s="2"/>
      <c r="AG10" s="2"/>
    </row>
    <row r="11" spans="2:33">
      <c r="B11" s="80">
        <v>7</v>
      </c>
      <c r="C11" s="8">
        <f>10+0.15*158+0.15*173</f>
        <v>59.650000000000006</v>
      </c>
      <c r="D11" s="8">
        <v>372.37</v>
      </c>
      <c r="E11" s="8">
        <f t="shared" si="0"/>
        <v>5710.0104500000007</v>
      </c>
      <c r="G11" s="9"/>
      <c r="H11" s="9"/>
      <c r="I11" s="9"/>
      <c r="P11" s="45"/>
      <c r="S11" s="80">
        <v>10</v>
      </c>
      <c r="T11" s="8">
        <v>679.50900000000001</v>
      </c>
      <c r="U11" s="8">
        <v>98.009900000000002</v>
      </c>
      <c r="V11" s="8">
        <f t="shared" si="1"/>
        <v>5464.0205999999998</v>
      </c>
      <c r="W11" s="2"/>
      <c r="X11" s="9"/>
      <c r="Y11" s="9"/>
      <c r="Z11" s="9"/>
      <c r="AA11" s="2"/>
      <c r="AB11" s="2"/>
      <c r="AC11" s="2"/>
      <c r="AD11" s="2"/>
      <c r="AE11" s="2"/>
      <c r="AF11" s="2"/>
      <c r="AG11" s="2"/>
    </row>
    <row r="12" spans="2:33">
      <c r="B12" s="80">
        <v>8</v>
      </c>
      <c r="C12" s="8">
        <f>0.85*172.84</f>
        <v>146.91399999999999</v>
      </c>
      <c r="D12" s="8">
        <v>267.745</v>
      </c>
      <c r="E12" s="8">
        <f t="shared" si="0"/>
        <v>5589.1794500000005</v>
      </c>
      <c r="G12" s="9"/>
      <c r="H12" s="9"/>
      <c r="I12" s="9"/>
      <c r="P12" s="45"/>
      <c r="S12" s="80">
        <v>9</v>
      </c>
      <c r="T12" s="8">
        <v>1049.9000000000001</v>
      </c>
      <c r="U12" s="8">
        <v>56.153700000000001</v>
      </c>
      <c r="V12" s="8">
        <f t="shared" si="1"/>
        <v>6457.7668999999996</v>
      </c>
      <c r="W12" s="2"/>
      <c r="X12" s="9"/>
      <c r="Y12" s="9"/>
      <c r="Z12" s="9"/>
      <c r="AA12" s="2"/>
      <c r="AB12" s="2"/>
      <c r="AC12" s="2"/>
      <c r="AD12" s="2"/>
      <c r="AE12" s="2"/>
      <c r="AF12" s="2"/>
      <c r="AG12" s="2"/>
    </row>
    <row r="13" spans="2:33">
      <c r="B13" s="80">
        <v>9</v>
      </c>
      <c r="C13" s="8">
        <v>78.260900000000007</v>
      </c>
      <c r="D13" s="8">
        <v>1130.53</v>
      </c>
      <c r="E13" s="8">
        <f t="shared" si="0"/>
        <v>4536.910350000001</v>
      </c>
      <c r="G13" s="9"/>
      <c r="H13" s="9"/>
      <c r="I13" s="9"/>
      <c r="P13" s="45"/>
      <c r="S13" s="80">
        <v>8</v>
      </c>
      <c r="T13" s="8">
        <v>290.19400000000002</v>
      </c>
      <c r="U13" s="8">
        <f>0.9*157.446</f>
        <v>141.70140000000001</v>
      </c>
      <c r="V13" s="8">
        <f t="shared" si="1"/>
        <v>6606.2595000000001</v>
      </c>
      <c r="W13" s="2"/>
      <c r="X13" s="9"/>
      <c r="Y13" s="9"/>
      <c r="Z13" s="9"/>
      <c r="AA13" s="2"/>
      <c r="AB13" s="2"/>
      <c r="AC13" s="2"/>
      <c r="AD13" s="2"/>
      <c r="AE13" s="2"/>
      <c r="AF13" s="2"/>
      <c r="AG13" s="2"/>
    </row>
    <row r="14" spans="2:33">
      <c r="B14" s="80">
        <v>10</v>
      </c>
      <c r="C14" s="8">
        <v>122.986</v>
      </c>
      <c r="D14" s="8">
        <v>590.61900000000003</v>
      </c>
      <c r="E14" s="8">
        <f t="shared" si="0"/>
        <v>4069.2773500000008</v>
      </c>
      <c r="G14" s="9"/>
      <c r="H14" s="9"/>
      <c r="I14" s="9"/>
      <c r="P14" s="45"/>
      <c r="S14" s="80">
        <v>7</v>
      </c>
      <c r="T14" s="8">
        <v>342.053</v>
      </c>
      <c r="U14" s="8">
        <f>6+157*0.1+135*0.1</f>
        <v>35.200000000000003</v>
      </c>
      <c r="V14" s="8">
        <f t="shared" si="1"/>
        <v>6913.1125000000002</v>
      </c>
      <c r="W14" s="2"/>
      <c r="X14" s="9"/>
      <c r="Y14" s="9"/>
      <c r="Z14" s="9"/>
      <c r="AA14" s="2"/>
      <c r="AB14" s="2"/>
      <c r="AC14" s="2"/>
      <c r="AD14" s="2"/>
      <c r="AE14" s="2"/>
      <c r="AF14" s="2"/>
      <c r="AG14" s="2"/>
    </row>
    <row r="15" spans="2:33">
      <c r="B15" s="80">
        <v>11</v>
      </c>
      <c r="C15" s="8">
        <v>69.414500000000004</v>
      </c>
      <c r="D15" s="8">
        <v>162.012</v>
      </c>
      <c r="E15" s="8">
        <f t="shared" si="0"/>
        <v>3976.6798500000009</v>
      </c>
      <c r="G15" s="9"/>
      <c r="H15" s="9"/>
      <c r="I15" s="9"/>
      <c r="P15" s="45"/>
      <c r="S15" s="80">
        <v>6</v>
      </c>
      <c r="T15" s="8">
        <v>671.46900000000005</v>
      </c>
      <c r="U15" s="8">
        <f>0.9*135.245</f>
        <v>121.7205</v>
      </c>
      <c r="V15" s="8">
        <f t="shared" si="1"/>
        <v>7462.8609999999999</v>
      </c>
      <c r="W15" s="2"/>
      <c r="X15" s="9"/>
      <c r="Y15" s="9"/>
      <c r="Z15" s="9"/>
      <c r="AA15" s="2"/>
      <c r="AB15" s="2"/>
      <c r="AC15" s="2"/>
      <c r="AD15" s="2"/>
      <c r="AE15" s="2"/>
      <c r="AF15" s="2"/>
      <c r="AG15" s="2"/>
    </row>
    <row r="16" spans="2:33">
      <c r="B16" s="80">
        <v>12</v>
      </c>
      <c r="C16" s="8">
        <v>177.119</v>
      </c>
      <c r="D16" s="8">
        <v>369.815</v>
      </c>
      <c r="E16" s="8">
        <f t="shared" si="0"/>
        <v>3783.983850000001</v>
      </c>
      <c r="G16" s="9"/>
      <c r="H16" s="9"/>
      <c r="I16" s="9"/>
      <c r="P16" s="45"/>
      <c r="S16" s="80">
        <v>5</v>
      </c>
      <c r="T16" s="8">
        <v>666.35500000000002</v>
      </c>
      <c r="U16" s="8">
        <v>227.41300000000001</v>
      </c>
      <c r="V16" s="8">
        <f t="shared" si="1"/>
        <v>7901.8029999999999</v>
      </c>
      <c r="W16" s="2"/>
      <c r="X16" s="9"/>
      <c r="Y16" s="9"/>
      <c r="Z16" s="9"/>
      <c r="AA16" s="2"/>
      <c r="AB16" s="2"/>
      <c r="AC16" s="2"/>
      <c r="AD16" s="2"/>
      <c r="AE16" s="2"/>
      <c r="AF16" s="2"/>
      <c r="AG16" s="2"/>
    </row>
    <row r="17" spans="2:33">
      <c r="B17" s="80">
        <v>13</v>
      </c>
      <c r="C17" s="8">
        <v>164.72499999999999</v>
      </c>
      <c r="D17" s="8">
        <v>950.58199999999999</v>
      </c>
      <c r="E17" s="8">
        <f t="shared" si="0"/>
        <v>2998.126850000001</v>
      </c>
      <c r="G17" s="9"/>
      <c r="H17" s="9"/>
      <c r="I17" s="9"/>
      <c r="P17" s="45"/>
      <c r="S17" s="80">
        <v>4</v>
      </c>
      <c r="T17" s="8">
        <v>1136.55</v>
      </c>
      <c r="U17" s="8">
        <v>488.20499999999998</v>
      </c>
      <c r="V17" s="8">
        <f t="shared" si="1"/>
        <v>8550.1479999999992</v>
      </c>
      <c r="W17" s="2"/>
      <c r="X17" s="9"/>
      <c r="Y17" s="9"/>
      <c r="Z17" s="9"/>
      <c r="AA17" s="2"/>
      <c r="AB17" s="2"/>
      <c r="AC17" s="2"/>
      <c r="AD17" s="2"/>
      <c r="AE17" s="2"/>
      <c r="AF17" s="2"/>
      <c r="AG17" s="2"/>
    </row>
    <row r="18" spans="2:33">
      <c r="B18" s="80">
        <v>14</v>
      </c>
      <c r="C18" s="8">
        <v>58</v>
      </c>
      <c r="D18" s="8">
        <v>435.26799999999997</v>
      </c>
      <c r="E18" s="8">
        <f t="shared" si="0"/>
        <v>2620.858850000001</v>
      </c>
      <c r="G18" s="9"/>
      <c r="H18" s="9"/>
      <c r="I18" s="9"/>
      <c r="P18" s="45"/>
      <c r="S18" s="80">
        <v>3</v>
      </c>
      <c r="T18" s="8">
        <v>640.39200000000005</v>
      </c>
      <c r="U18" s="8">
        <v>1455.35</v>
      </c>
      <c r="V18" s="8">
        <f t="shared" si="1"/>
        <v>7735.1899999999987</v>
      </c>
      <c r="W18" s="2"/>
      <c r="X18" s="9"/>
      <c r="Y18" s="9"/>
      <c r="Z18" s="9"/>
      <c r="AA18" s="2"/>
      <c r="AB18" s="2"/>
      <c r="AC18" s="2"/>
      <c r="AD18" s="2"/>
      <c r="AE18" s="2"/>
      <c r="AF18" s="2"/>
      <c r="AG18" s="2"/>
    </row>
    <row r="19" spans="2:33">
      <c r="B19" s="80">
        <v>15</v>
      </c>
      <c r="C19" s="8">
        <v>0</v>
      </c>
      <c r="D19" s="8">
        <v>0</v>
      </c>
      <c r="E19" s="8">
        <f t="shared" si="0"/>
        <v>2620.858850000001</v>
      </c>
      <c r="G19" s="9"/>
      <c r="H19" s="9"/>
      <c r="I19" s="9"/>
      <c r="P19" s="45"/>
      <c r="S19" s="80">
        <v>2</v>
      </c>
      <c r="T19" s="8">
        <v>0</v>
      </c>
      <c r="U19" s="8">
        <v>2943.7</v>
      </c>
      <c r="V19" s="8">
        <f t="shared" si="1"/>
        <v>4791.4899999999989</v>
      </c>
      <c r="W19" s="2"/>
      <c r="X19" s="9"/>
      <c r="Y19" s="9"/>
      <c r="Z19" s="9"/>
      <c r="AA19" s="2"/>
      <c r="AB19" s="2"/>
      <c r="AC19" s="2"/>
      <c r="AD19" s="2"/>
      <c r="AE19" s="2"/>
      <c r="AF19" s="2"/>
      <c r="AG19" s="2"/>
    </row>
    <row r="20" spans="2:33">
      <c r="B20" s="80">
        <v>16</v>
      </c>
      <c r="C20" s="8">
        <v>0</v>
      </c>
      <c r="D20" s="8">
        <v>2620.8200000000002</v>
      </c>
      <c r="E20" s="8">
        <f t="shared" si="0"/>
        <v>3.8850000000820728E-2</v>
      </c>
      <c r="G20" s="9"/>
      <c r="H20" s="9"/>
      <c r="I20" s="9"/>
      <c r="P20" s="45"/>
      <c r="S20" s="80">
        <v>1</v>
      </c>
      <c r="T20" s="8">
        <v>0</v>
      </c>
      <c r="U20" s="8">
        <v>4791.42</v>
      </c>
      <c r="V20" s="8">
        <f t="shared" si="1"/>
        <v>6.9999999998799467E-2</v>
      </c>
      <c r="W20" s="2"/>
      <c r="X20" s="9"/>
      <c r="Y20" s="9"/>
      <c r="Z20" s="9"/>
      <c r="AA20" s="2"/>
      <c r="AB20" s="2"/>
      <c r="AC20" s="2"/>
      <c r="AD20" s="2"/>
      <c r="AE20" s="2"/>
      <c r="AF20" s="2"/>
      <c r="AG20" s="2"/>
    </row>
    <row r="21" spans="2:33" ht="7.15" customHeight="1">
      <c r="S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2:33">
      <c r="C22" s="10">
        <f>SUM(C5:C20)</f>
        <v>9279.9133500000007</v>
      </c>
      <c r="S22" s="2"/>
      <c r="T22" s="10">
        <f>SUM(T5:T20)</f>
        <v>10644.928999999998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2:33" ht="16.5" thickBot="1"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2:33" ht="24" customHeight="1" thickBot="1">
      <c r="B24" s="90" t="s">
        <v>66</v>
      </c>
      <c r="C24" s="92" t="s">
        <v>55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4"/>
      <c r="S24" s="90" t="s">
        <v>67</v>
      </c>
      <c r="T24" s="92" t="s">
        <v>55</v>
      </c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4"/>
    </row>
    <row r="25" spans="2:33" ht="22.9" customHeight="1" thickBot="1">
      <c r="B25" s="91"/>
      <c r="C25" s="12">
        <v>0.29166666666666669</v>
      </c>
      <c r="D25" s="13">
        <v>0.33333333333333331</v>
      </c>
      <c r="E25" s="13">
        <v>0.375</v>
      </c>
      <c r="F25" s="13">
        <v>0.41666666666666702</v>
      </c>
      <c r="G25" s="13">
        <v>0.45833333333333398</v>
      </c>
      <c r="H25" s="13">
        <v>0.5</v>
      </c>
      <c r="I25" s="13">
        <v>0.54166666666666696</v>
      </c>
      <c r="J25" s="13">
        <v>0.58333333333333304</v>
      </c>
      <c r="K25" s="13">
        <v>0.625</v>
      </c>
      <c r="L25" s="13">
        <v>0.66666666666666696</v>
      </c>
      <c r="M25" s="13">
        <v>0.70833333333333304</v>
      </c>
      <c r="N25" s="13">
        <v>0.75</v>
      </c>
      <c r="O25" s="13">
        <v>0.79166666666666696</v>
      </c>
      <c r="P25" s="14">
        <v>0.83333333333333304</v>
      </c>
      <c r="S25" s="91"/>
      <c r="T25" s="12">
        <v>0.29166666666666669</v>
      </c>
      <c r="U25" s="13">
        <v>0.33333333333333331</v>
      </c>
      <c r="V25" s="13">
        <v>0.375</v>
      </c>
      <c r="W25" s="13">
        <v>0.41666666666666702</v>
      </c>
      <c r="X25" s="13">
        <v>0.45833333333333398</v>
      </c>
      <c r="Y25" s="13">
        <v>0.5</v>
      </c>
      <c r="Z25" s="13">
        <v>0.54166666666666696</v>
      </c>
      <c r="AA25" s="13">
        <v>0.58333333333333304</v>
      </c>
      <c r="AB25" s="13">
        <v>0.625</v>
      </c>
      <c r="AC25" s="13">
        <v>0.66666666666666696</v>
      </c>
      <c r="AD25" s="13">
        <v>0.70833333333333304</v>
      </c>
      <c r="AE25" s="13">
        <v>0.75</v>
      </c>
      <c r="AF25" s="13">
        <v>0.79166666666666696</v>
      </c>
      <c r="AG25" s="14">
        <v>0.83333333333333304</v>
      </c>
    </row>
    <row r="26" spans="2:33">
      <c r="B26" s="81" t="s">
        <v>159</v>
      </c>
      <c r="C26" s="15">
        <v>270.43033632980291</v>
      </c>
      <c r="D26" s="16">
        <v>303.75595857180969</v>
      </c>
      <c r="E26" s="16">
        <v>258.32420211899961</v>
      </c>
      <c r="F26" s="16">
        <v>252.90119404315647</v>
      </c>
      <c r="G26" s="16">
        <v>250.74099165609863</v>
      </c>
      <c r="H26" s="16">
        <v>258.79674639116848</v>
      </c>
      <c r="I26" s="16">
        <v>293.24747404310131</v>
      </c>
      <c r="J26" s="16">
        <v>348.78267707704646</v>
      </c>
      <c r="K26" s="16">
        <v>284.62916660306843</v>
      </c>
      <c r="L26" s="16">
        <v>280.64629345193055</v>
      </c>
      <c r="M26" s="16">
        <v>284.51665606207581</v>
      </c>
      <c r="N26" s="16">
        <v>244.35039292771921</v>
      </c>
      <c r="O26" s="16">
        <v>215.54769443361474</v>
      </c>
      <c r="P26" s="17">
        <v>167.48319132157789</v>
      </c>
      <c r="S26" s="81" t="s">
        <v>174</v>
      </c>
      <c r="T26" s="15">
        <v>208.79153760741087</v>
      </c>
      <c r="U26" s="16">
        <v>234.52129856568803</v>
      </c>
      <c r="V26" s="16">
        <v>199.44473720528177</v>
      </c>
      <c r="W26" s="16">
        <v>195.25778758276672</v>
      </c>
      <c r="X26" s="16">
        <v>193.58995702773996</v>
      </c>
      <c r="Y26" s="16">
        <v>199.8095751391939</v>
      </c>
      <c r="Z26" s="16">
        <v>226.40799784488084</v>
      </c>
      <c r="AA26" s="16">
        <v>269.2851416970268</v>
      </c>
      <c r="AB26" s="16">
        <v>219.75404885972202</v>
      </c>
      <c r="AC26" s="16">
        <v>216.67898627389152</v>
      </c>
      <c r="AD26" s="16">
        <v>219.66718268498107</v>
      </c>
      <c r="AE26" s="16">
        <v>188.65595830245252</v>
      </c>
      <c r="AF26" s="16">
        <v>166.41821756876257</v>
      </c>
      <c r="AG26" s="17">
        <v>129.30898771941744</v>
      </c>
    </row>
    <row r="27" spans="2:33" ht="16.5" thickBot="1">
      <c r="B27" s="82" t="s">
        <v>160</v>
      </c>
      <c r="C27" s="18">
        <v>174.53514013183505</v>
      </c>
      <c r="D27" s="19">
        <v>196.04342291892505</v>
      </c>
      <c r="E27" s="19">
        <v>166.72186792423582</v>
      </c>
      <c r="F27" s="19">
        <v>163.22187052269044</v>
      </c>
      <c r="G27" s="19">
        <v>161.82768068639021</v>
      </c>
      <c r="H27" s="19">
        <v>167.02684695092648</v>
      </c>
      <c r="I27" s="19">
        <v>189.26127027775621</v>
      </c>
      <c r="J27" s="19">
        <v>225.10356731930796</v>
      </c>
      <c r="K27" s="19">
        <v>183.69903374335007</v>
      </c>
      <c r="L27" s="19">
        <v>181.12849623267158</v>
      </c>
      <c r="M27" s="19">
        <v>183.62641968937612</v>
      </c>
      <c r="N27" s="19">
        <v>157.7032024206687</v>
      </c>
      <c r="O27" s="19">
        <v>139.11400460333235</v>
      </c>
      <c r="P27" s="20">
        <v>108.09328074565222</v>
      </c>
      <c r="S27" s="82" t="s">
        <v>173</v>
      </c>
      <c r="T27" s="18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20">
        <v>0</v>
      </c>
    </row>
    <row r="28" spans="2:33">
      <c r="B28" s="81" t="s">
        <v>161</v>
      </c>
      <c r="C28" s="18">
        <v>119.36405759417681</v>
      </c>
      <c r="D28" s="19">
        <v>134.07350752735834</v>
      </c>
      <c r="E28" s="19">
        <v>114.02058422209601</v>
      </c>
      <c r="F28" s="19">
        <v>111.62694652196315</v>
      </c>
      <c r="G28" s="19">
        <v>110.67346428456582</v>
      </c>
      <c r="H28" s="19">
        <v>114.22915846152665</v>
      </c>
      <c r="I28" s="19">
        <v>129.43521372668599</v>
      </c>
      <c r="J28" s="19">
        <v>153.9476529131087</v>
      </c>
      <c r="K28" s="19">
        <v>125.63121688373624</v>
      </c>
      <c r="L28" s="19">
        <v>123.87323400853496</v>
      </c>
      <c r="M28" s="19">
        <v>125.58155635053849</v>
      </c>
      <c r="N28" s="19">
        <v>107.85274599893209</v>
      </c>
      <c r="O28" s="19">
        <v>95.139649500301189</v>
      </c>
      <c r="P28" s="20">
        <v>73.924669718210865</v>
      </c>
      <c r="S28" s="81" t="s">
        <v>172</v>
      </c>
      <c r="T28" s="18">
        <v>72.060682762135642</v>
      </c>
      <c r="U28" s="19">
        <v>80.940851772846472</v>
      </c>
      <c r="V28" s="19">
        <v>68.834800974314945</v>
      </c>
      <c r="W28" s="19">
        <v>67.389749838878544</v>
      </c>
      <c r="X28" s="19">
        <v>66.814127809825038</v>
      </c>
      <c r="Y28" s="19">
        <v>68.960718293170402</v>
      </c>
      <c r="Z28" s="19">
        <v>78.140690444013273</v>
      </c>
      <c r="AA28" s="19">
        <v>92.938973440930454</v>
      </c>
      <c r="AB28" s="19">
        <v>75.844198390601889</v>
      </c>
      <c r="AC28" s="19">
        <v>74.782895274534511</v>
      </c>
      <c r="AD28" s="19">
        <v>75.814218076588688</v>
      </c>
      <c r="AE28" s="19">
        <v>65.111245973875086</v>
      </c>
      <c r="AF28" s="19">
        <v>57.436285586495018</v>
      </c>
      <c r="AG28" s="20">
        <v>44.628695440054543</v>
      </c>
    </row>
    <row r="29" spans="2:33" ht="16.5" thickBot="1">
      <c r="B29" s="82" t="s">
        <v>162</v>
      </c>
      <c r="C29" s="18">
        <v>29.588836812077634</v>
      </c>
      <c r="D29" s="19">
        <v>33.235122992697278</v>
      </c>
      <c r="E29" s="19">
        <v>28.264257497308304</v>
      </c>
      <c r="F29" s="19">
        <v>27.670905053331708</v>
      </c>
      <c r="G29" s="19">
        <v>27.434548893075473</v>
      </c>
      <c r="H29" s="19">
        <v>28.315960407364354</v>
      </c>
      <c r="I29" s="19">
        <v>32.085348754784128</v>
      </c>
      <c r="J29" s="19">
        <v>38.16167170803822</v>
      </c>
      <c r="K29" s="19">
        <v>31.142386157095181</v>
      </c>
      <c r="L29" s="19">
        <v>30.706604486622755</v>
      </c>
      <c r="M29" s="19">
        <v>31.130075940415175</v>
      </c>
      <c r="N29" s="19">
        <v>26.73532858565077</v>
      </c>
      <c r="O29" s="19">
        <v>23.583913115567618</v>
      </c>
      <c r="P29" s="20">
        <v>18.324988549866351</v>
      </c>
      <c r="S29" s="82" t="s">
        <v>171</v>
      </c>
      <c r="T29" s="18">
        <v>54.303114006326339</v>
      </c>
      <c r="U29" s="19">
        <v>60.994985519337597</v>
      </c>
      <c r="V29" s="19">
        <v>51.872170809837442</v>
      </c>
      <c r="W29" s="19">
        <v>50.783216701373085</v>
      </c>
      <c r="X29" s="19">
        <v>50.349442450698483</v>
      </c>
      <c r="Y29" s="19">
        <v>51.967058927172509</v>
      </c>
      <c r="Z29" s="19">
        <v>58.88485452907679</v>
      </c>
      <c r="AA29" s="19">
        <v>70.036467556836271</v>
      </c>
      <c r="AB29" s="19">
        <v>57.154276008156252</v>
      </c>
      <c r="AC29" s="19">
        <v>56.354504733474975</v>
      </c>
      <c r="AD29" s="19">
        <v>57.131683599266957</v>
      </c>
      <c r="AE29" s="19">
        <v>49.066193625786127</v>
      </c>
      <c r="AF29" s="19">
        <v>43.282536950124815</v>
      </c>
      <c r="AG29" s="20">
        <v>33.631059872614991</v>
      </c>
    </row>
    <row r="30" spans="2:33">
      <c r="B30" s="81" t="s">
        <v>163</v>
      </c>
      <c r="C30" s="18">
        <v>8.1216691381550739</v>
      </c>
      <c r="D30" s="19">
        <v>9.1225171988646476</v>
      </c>
      <c r="E30" s="19">
        <v>7.7580930026643564</v>
      </c>
      <c r="F30" s="19">
        <v>7.5952271129742783</v>
      </c>
      <c r="G30" s="19">
        <v>7.5303510739276067</v>
      </c>
      <c r="H30" s="19">
        <v>7.772284636205816</v>
      </c>
      <c r="I30" s="19">
        <v>8.8069223005855317</v>
      </c>
      <c r="J30" s="19">
        <v>10.474777137743688</v>
      </c>
      <c r="K30" s="19">
        <v>8.5480939364722524</v>
      </c>
      <c r="L30" s="19">
        <v>8.4284787394799547</v>
      </c>
      <c r="M30" s="19">
        <v>8.5447149761052383</v>
      </c>
      <c r="N30" s="19">
        <v>7.3384261250812068</v>
      </c>
      <c r="O30" s="19">
        <v>6.473412271125599</v>
      </c>
      <c r="P30" s="20">
        <v>5.0299204023371784</v>
      </c>
      <c r="S30" s="81" t="s">
        <v>170</v>
      </c>
      <c r="T30" s="18">
        <v>25.984302787069968</v>
      </c>
      <c r="U30" s="19">
        <v>29.186395683363074</v>
      </c>
      <c r="V30" s="19">
        <v>24.821084705904738</v>
      </c>
      <c r="W30" s="19">
        <v>24.300014896312142</v>
      </c>
      <c r="X30" s="19">
        <v>24.0924518186321</v>
      </c>
      <c r="Y30" s="19">
        <v>24.866489129147247</v>
      </c>
      <c r="Z30" s="19">
        <v>28.176687795065384</v>
      </c>
      <c r="AA30" s="19">
        <v>33.512788583756404</v>
      </c>
      <c r="AB30" s="19">
        <v>27.348597599737719</v>
      </c>
      <c r="AC30" s="19">
        <v>26.965903175265154</v>
      </c>
      <c r="AD30" s="19">
        <v>27.33778702277522</v>
      </c>
      <c r="AE30" s="19">
        <v>23.478411047161984</v>
      </c>
      <c r="AF30" s="19">
        <v>20.710903344761459</v>
      </c>
      <c r="AG30" s="20">
        <v>16.092624866380575</v>
      </c>
    </row>
    <row r="31" spans="2:33" ht="16.5" thickBot="1">
      <c r="B31" s="82" t="s">
        <v>164</v>
      </c>
      <c r="C31" s="18">
        <v>9.7713954685377029</v>
      </c>
      <c r="D31" s="19">
        <v>10.975542305690665</v>
      </c>
      <c r="E31" s="19">
        <v>9.3339673804969898</v>
      </c>
      <c r="F31" s="19">
        <v>9.1380191105754047</v>
      </c>
      <c r="G31" s="19">
        <v>9.0599650279510406</v>
      </c>
      <c r="H31" s="19">
        <v>9.3510417110710691</v>
      </c>
      <c r="I31" s="19">
        <v>10.595841716257558</v>
      </c>
      <c r="J31" s="19">
        <v>12.602482090392277</v>
      </c>
      <c r="K31" s="19">
        <v>10.284438449120767</v>
      </c>
      <c r="L31" s="19">
        <v>10.140526234282095</v>
      </c>
      <c r="M31" s="19">
        <v>10.280373132317415</v>
      </c>
      <c r="N31" s="19">
        <v>8.8290550335206266</v>
      </c>
      <c r="O31" s="19">
        <v>7.788333931862427</v>
      </c>
      <c r="P31" s="20">
        <v>6.0516305934703043</v>
      </c>
      <c r="S31" s="82" t="s">
        <v>169</v>
      </c>
      <c r="T31" s="18">
        <v>15.1795835373823</v>
      </c>
      <c r="U31" s="19">
        <v>17.050191227419177</v>
      </c>
      <c r="V31" s="19">
        <v>14.500051506835479</v>
      </c>
      <c r="W31" s="19">
        <v>14.195651470847034</v>
      </c>
      <c r="X31" s="19">
        <v>14.074396684727157</v>
      </c>
      <c r="Y31" s="19">
        <v>14.526575991299202</v>
      </c>
      <c r="Z31" s="19">
        <v>16.460337215773517</v>
      </c>
      <c r="AA31" s="19">
        <v>19.577595675605394</v>
      </c>
      <c r="AB31" s="19">
        <v>15.97658114198275</v>
      </c>
      <c r="AC31" s="19">
        <v>15.753017630074226</v>
      </c>
      <c r="AD31" s="19">
        <v>15.970265788539006</v>
      </c>
      <c r="AE31" s="19">
        <v>13.715684609122516</v>
      </c>
      <c r="AF31" s="19">
        <v>12.098954127524134</v>
      </c>
      <c r="AG31" s="20">
        <v>9.4010351363568372</v>
      </c>
    </row>
    <row r="32" spans="2:33">
      <c r="B32" s="81" t="s">
        <v>165</v>
      </c>
      <c r="C32" s="18">
        <v>4.3431191086273842</v>
      </c>
      <c r="D32" s="19">
        <v>4.8783295762490475</v>
      </c>
      <c r="E32" s="19">
        <v>4.1486942392280213</v>
      </c>
      <c r="F32" s="19">
        <v>4.0616005709654823</v>
      </c>
      <c r="G32" s="19">
        <v>4.0269076574667109</v>
      </c>
      <c r="H32" s="19">
        <v>4.1562833140558775</v>
      </c>
      <c r="I32" s="19">
        <v>4.7095630074581516</v>
      </c>
      <c r="J32" s="19">
        <v>5.6014599919890538</v>
      </c>
      <c r="K32" s="19">
        <v>4.5711527379786805</v>
      </c>
      <c r="L32" s="19">
        <v>4.5071876787153222</v>
      </c>
      <c r="M32" s="19">
        <v>4.5693458154006192</v>
      </c>
      <c r="N32" s="19">
        <v>3.9242744550328474</v>
      </c>
      <c r="O32" s="19">
        <v>3.4617022750492357</v>
      </c>
      <c r="P32" s="20">
        <v>2.6897849497015822</v>
      </c>
      <c r="S32" s="81" t="s">
        <v>168</v>
      </c>
      <c r="T32" s="18">
        <v>49.475080006442333</v>
      </c>
      <c r="U32" s="19">
        <v>55.571984107752115</v>
      </c>
      <c r="V32" s="19">
        <v>47.260269468626888</v>
      </c>
      <c r="W32" s="19">
        <v>46.268133149642644</v>
      </c>
      <c r="X32" s="19">
        <v>45.872925321333568</v>
      </c>
      <c r="Y32" s="19">
        <v>47.346721181069491</v>
      </c>
      <c r="Z32" s="19">
        <v>53.649462692956931</v>
      </c>
      <c r="AA32" s="19">
        <v>63.809597279069408</v>
      </c>
      <c r="AB32" s="19">
        <v>52.072748127932179</v>
      </c>
      <c r="AC32" s="19">
        <v>51.344083694487331</v>
      </c>
      <c r="AD32" s="19">
        <v>52.052164386874416</v>
      </c>
      <c r="AE32" s="19">
        <v>44.70376882925256</v>
      </c>
      <c r="AF32" s="19">
        <v>39.43433111846489</v>
      </c>
      <c r="AG32" s="20">
        <v>30.640956938587969</v>
      </c>
    </row>
    <row r="33" spans="2:33" ht="16.5" thickBot="1">
      <c r="B33" s="82" t="s">
        <v>166</v>
      </c>
      <c r="C33" s="18">
        <v>10.696814764876503</v>
      </c>
      <c r="D33" s="19">
        <v>12.015002705197862</v>
      </c>
      <c r="E33" s="19">
        <v>10.217959186285759</v>
      </c>
      <c r="F33" s="19">
        <v>10.003453248664254</v>
      </c>
      <c r="G33" s="19">
        <v>9.9180069000681375</v>
      </c>
      <c r="H33" s="19">
        <v>10.236650575041159</v>
      </c>
      <c r="I33" s="19">
        <v>11.599341821922998</v>
      </c>
      <c r="J33" s="19">
        <v>13.796025033748192</v>
      </c>
      <c r="K33" s="19">
        <v>11.258446493669735</v>
      </c>
      <c r="L33" s="19">
        <v>11.100904788445645</v>
      </c>
      <c r="M33" s="19">
        <v>11.253996163013687</v>
      </c>
      <c r="N33" s="19">
        <v>9.6652281188046203</v>
      </c>
      <c r="O33" s="19">
        <v>8.525943470856383</v>
      </c>
      <c r="P33" s="20">
        <v>6.6247622145927618</v>
      </c>
      <c r="S33" s="82" t="s">
        <v>167</v>
      </c>
      <c r="T33" s="18">
        <v>76.4432649144659</v>
      </c>
      <c r="U33" s="19">
        <v>85.863507495454726</v>
      </c>
      <c r="V33" s="19">
        <v>73.021191647367971</v>
      </c>
      <c r="W33" s="19">
        <v>71.488255481251642</v>
      </c>
      <c r="X33" s="19">
        <v>70.877625307196993</v>
      </c>
      <c r="Y33" s="19">
        <v>73.154766997942431</v>
      </c>
      <c r="Z33" s="19">
        <v>82.893046127918083</v>
      </c>
      <c r="AA33" s="19">
        <v>98.591330185906244</v>
      </c>
      <c r="AB33" s="19">
        <v>80.456886162679226</v>
      </c>
      <c r="AC33" s="19">
        <v>79.331036779265986</v>
      </c>
      <c r="AD33" s="19">
        <v>80.425082507780559</v>
      </c>
      <c r="AE33" s="19">
        <v>69.071177708951993</v>
      </c>
      <c r="AF33" s="19">
        <v>60.92944205489006</v>
      </c>
      <c r="AG33" s="20">
        <v>47.342920682174203</v>
      </c>
    </row>
    <row r="34" spans="2:33">
      <c r="B34" s="81" t="s">
        <v>167</v>
      </c>
      <c r="C34" s="18">
        <v>5.6981795515235012</v>
      </c>
      <c r="D34" s="19">
        <v>6.4003765822945358</v>
      </c>
      <c r="E34" s="19">
        <v>5.4430937969287561</v>
      </c>
      <c r="F34" s="19">
        <v>5.3288267581604787</v>
      </c>
      <c r="G34" s="19">
        <v>5.2833095974892963</v>
      </c>
      <c r="H34" s="19">
        <v>5.4530506758255761</v>
      </c>
      <c r="I34" s="19">
        <v>6.1789545611128531</v>
      </c>
      <c r="J34" s="19">
        <v>7.3491249000344707</v>
      </c>
      <c r="K34" s="19">
        <v>5.9973600555184516</v>
      </c>
      <c r="L34" s="19">
        <v>5.9134377905309625</v>
      </c>
      <c r="M34" s="19">
        <v>5.9949893700668282</v>
      </c>
      <c r="N34" s="19">
        <v>5.1486546638370525</v>
      </c>
      <c r="O34" s="19">
        <v>4.5417591882213033</v>
      </c>
      <c r="P34" s="20">
        <v>3.5290023632875203</v>
      </c>
      <c r="S34" s="81" t="s">
        <v>166</v>
      </c>
      <c r="T34" s="18">
        <v>21.129037830830093</v>
      </c>
      <c r="U34" s="19">
        <v>23.732807595138574</v>
      </c>
      <c r="V34" s="19">
        <v>20.183171434342604</v>
      </c>
      <c r="W34" s="19">
        <v>19.759465483499699</v>
      </c>
      <c r="X34" s="19">
        <v>19.590686349553977</v>
      </c>
      <c r="Y34" s="19">
        <v>20.220091869893231</v>
      </c>
      <c r="Z34" s="19">
        <v>22.911767433131782</v>
      </c>
      <c r="AA34" s="19">
        <v>27.250797668319723</v>
      </c>
      <c r="AB34" s="19">
        <v>22.238409013327495</v>
      </c>
      <c r="AC34" s="19">
        <v>21.92722248511507</v>
      </c>
      <c r="AD34" s="19">
        <v>22.229618433434489</v>
      </c>
      <c r="AE34" s="19">
        <v>19.091381411631215</v>
      </c>
      <c r="AF34" s="19">
        <v>16.840992959021587</v>
      </c>
      <c r="AG34" s="20">
        <v>13.085657228729271</v>
      </c>
    </row>
    <row r="35" spans="2:33" ht="16.5" thickBot="1">
      <c r="B35" s="82" t="s">
        <v>168</v>
      </c>
      <c r="C35" s="18">
        <v>8.9546160384517588</v>
      </c>
      <c r="D35" s="19">
        <v>10.058109660763877</v>
      </c>
      <c r="E35" s="19">
        <v>8.5537520487124468</v>
      </c>
      <c r="F35" s="19">
        <v>8.3741828637176994</v>
      </c>
      <c r="G35" s="19">
        <v>8.3026532298608711</v>
      </c>
      <c r="H35" s="19">
        <v>8.569399156118628</v>
      </c>
      <c r="I35" s="19">
        <v>9.7101477960645131</v>
      </c>
      <c r="J35" s="19">
        <v>11.549055466467154</v>
      </c>
      <c r="K35" s="19">
        <v>9.424774360989872</v>
      </c>
      <c r="L35" s="19">
        <v>9.2928915985663441</v>
      </c>
      <c r="M35" s="19">
        <v>9.4210488592264969</v>
      </c>
      <c r="N35" s="19">
        <v>8.0910447297010855</v>
      </c>
      <c r="O35" s="19">
        <v>7.1373162782767015</v>
      </c>
      <c r="P35" s="20">
        <v>5.5457819249622604</v>
      </c>
      <c r="S35" s="82" t="s">
        <v>165</v>
      </c>
      <c r="T35" s="18">
        <v>24.904893888739689</v>
      </c>
      <c r="U35" s="19">
        <v>27.973969263113418</v>
      </c>
      <c r="V35" s="19">
        <v>23.789996824990151</v>
      </c>
      <c r="W35" s="19">
        <v>23.290572675615355</v>
      </c>
      <c r="X35" s="19">
        <v>23.091631935615435</v>
      </c>
      <c r="Y35" s="19">
        <v>23.833515111865132</v>
      </c>
      <c r="Z35" s="19">
        <v>27.00620545498882</v>
      </c>
      <c r="AA35" s="19">
        <v>32.120640312486699</v>
      </c>
      <c r="AB35" s="19">
        <v>26.212514794364143</v>
      </c>
      <c r="AC35" s="19">
        <v>25.845717804989302</v>
      </c>
      <c r="AD35" s="19">
        <v>26.202153297489151</v>
      </c>
      <c r="AE35" s="19">
        <v>22.503098913115682</v>
      </c>
      <c r="AF35" s="19">
        <v>19.850555713116783</v>
      </c>
      <c r="AG35" s="20">
        <v>15.424124248118614</v>
      </c>
    </row>
    <row r="36" spans="2:33">
      <c r="B36" s="81" t="s">
        <v>169</v>
      </c>
      <c r="C36" s="18">
        <v>5.0540727806507215</v>
      </c>
      <c r="D36" s="19">
        <v>5.6768953624566549</v>
      </c>
      <c r="E36" s="19">
        <v>4.8278212283133861</v>
      </c>
      <c r="F36" s="19">
        <v>4.7264706258723121</v>
      </c>
      <c r="G36" s="19">
        <v>4.6860986016634198</v>
      </c>
      <c r="H36" s="19">
        <v>4.8366526086090822</v>
      </c>
      <c r="I36" s="19">
        <v>5.4805022863571482</v>
      </c>
      <c r="J36" s="19">
        <v>6.5183997420607573</v>
      </c>
      <c r="K36" s="19">
        <v>5.3194347314404204</v>
      </c>
      <c r="L36" s="19">
        <v>5.2449988118052753</v>
      </c>
      <c r="M36" s="19">
        <v>5.317332021846207</v>
      </c>
      <c r="N36" s="19">
        <v>4.5666646967121141</v>
      </c>
      <c r="O36" s="19">
        <v>4.028371040593548</v>
      </c>
      <c r="P36" s="20">
        <v>3.1300935019456917</v>
      </c>
      <c r="S36" s="81" t="s">
        <v>164</v>
      </c>
      <c r="T36" s="18">
        <v>48.889687254835223</v>
      </c>
      <c r="U36" s="19">
        <v>54.914452342571188</v>
      </c>
      <c r="V36" s="19">
        <v>46.701082516683996</v>
      </c>
      <c r="W36" s="19">
        <v>45.720685226917375</v>
      </c>
      <c r="X36" s="19">
        <v>45.330153526429427</v>
      </c>
      <c r="Y36" s="19">
        <v>46.786511326165737</v>
      </c>
      <c r="Z36" s="19">
        <v>53.01467834123919</v>
      </c>
      <c r="AA36" s="19">
        <v>63.054597474616898</v>
      </c>
      <c r="AB36" s="19">
        <v>51.456619577834132</v>
      </c>
      <c r="AC36" s="19">
        <v>50.736576755059481</v>
      </c>
      <c r="AD36" s="19">
        <v>51.436279385100391</v>
      </c>
      <c r="AE36" s="19">
        <v>44.174830579152577</v>
      </c>
      <c r="AF36" s="19">
        <v>38.967741239313241</v>
      </c>
      <c r="AG36" s="20">
        <v>30.278410903456361</v>
      </c>
    </row>
    <row r="37" spans="2:33" ht="16.5" thickBot="1">
      <c r="B37" s="82" t="s">
        <v>170</v>
      </c>
      <c r="C37" s="18">
        <v>12.896042135808443</v>
      </c>
      <c r="D37" s="19">
        <v>14.485244865308548</v>
      </c>
      <c r="E37" s="19">
        <v>12.318735539946822</v>
      </c>
      <c r="F37" s="19">
        <v>12.060127938454908</v>
      </c>
      <c r="G37" s="19">
        <v>11.95711412209298</v>
      </c>
      <c r="H37" s="19">
        <v>12.341269812275991</v>
      </c>
      <c r="I37" s="19">
        <v>13.984125571131271</v>
      </c>
      <c r="J37" s="19">
        <v>16.632439100102417</v>
      </c>
      <c r="K37" s="19">
        <v>13.573143366270674</v>
      </c>
      <c r="L37" s="19">
        <v>13.383211642353379</v>
      </c>
      <c r="M37" s="19">
        <v>13.567778063335156</v>
      </c>
      <c r="N37" s="19">
        <v>11.652364915355623</v>
      </c>
      <c r="O37" s="19">
        <v>10.278847363863292</v>
      </c>
      <c r="P37" s="20">
        <v>7.9867899498104702</v>
      </c>
      <c r="S37" s="82" t="s">
        <v>163</v>
      </c>
      <c r="T37" s="18">
        <v>48.517336691188611</v>
      </c>
      <c r="U37" s="19">
        <v>54.49621634168372</v>
      </c>
      <c r="V37" s="19">
        <v>46.345400666903402</v>
      </c>
      <c r="W37" s="19">
        <v>45.372470217363009</v>
      </c>
      <c r="X37" s="19">
        <v>44.984912859869745</v>
      </c>
      <c r="Y37" s="19">
        <v>46.430178838855056</v>
      </c>
      <c r="Z37" s="19">
        <v>52.61091127971126</v>
      </c>
      <c r="AA37" s="19">
        <v>62.574365011934049</v>
      </c>
      <c r="AB37" s="19">
        <v>51.064718905545398</v>
      </c>
      <c r="AC37" s="19">
        <v>50.350160027667187</v>
      </c>
      <c r="AD37" s="19">
        <v>51.044533626509292</v>
      </c>
      <c r="AE37" s="19">
        <v>43.838389010618826</v>
      </c>
      <c r="AF37" s="19">
        <v>38.670957577375241</v>
      </c>
      <c r="AG37" s="20">
        <v>30.047806373150006</v>
      </c>
    </row>
    <row r="38" spans="2:33">
      <c r="B38" s="81" t="s">
        <v>171</v>
      </c>
      <c r="C38" s="18">
        <v>11.993634453791211</v>
      </c>
      <c r="D38" s="19">
        <v>13.471631843212476</v>
      </c>
      <c r="E38" s="19">
        <v>11.456725206317447</v>
      </c>
      <c r="F38" s="19">
        <v>11.216213814791097</v>
      </c>
      <c r="G38" s="19">
        <v>11.120408447212135</v>
      </c>
      <c r="H38" s="19">
        <v>11.477682630475346</v>
      </c>
      <c r="I38" s="19">
        <v>13.00557864884399</v>
      </c>
      <c r="J38" s="19">
        <v>15.468574973686451</v>
      </c>
      <c r="K38" s="19">
        <v>12.623355151107091</v>
      </c>
      <c r="L38" s="19">
        <v>12.446714004633382</v>
      </c>
      <c r="M38" s="19">
        <v>12.618365288212354</v>
      </c>
      <c r="N38" s="19">
        <v>10.836984234791043</v>
      </c>
      <c r="O38" s="19">
        <v>9.5595793337382258</v>
      </c>
      <c r="P38" s="20">
        <v>7.4279099051063397</v>
      </c>
      <c r="S38" s="81" t="s">
        <v>162</v>
      </c>
      <c r="T38" s="18">
        <v>82.752255203863413</v>
      </c>
      <c r="U38" s="19">
        <v>92.949966133878519</v>
      </c>
      <c r="V38" s="19">
        <v>79.047752516254945</v>
      </c>
      <c r="W38" s="19">
        <v>77.388300568831824</v>
      </c>
      <c r="X38" s="19">
        <v>76.727274066953726</v>
      </c>
      <c r="Y38" s="19">
        <v>79.192352063540781</v>
      </c>
      <c r="Z38" s="19">
        <v>89.734347629950733</v>
      </c>
      <c r="AA38" s="19">
        <v>106.72823728239999</v>
      </c>
      <c r="AB38" s="19">
        <v>87.097127315166276</v>
      </c>
      <c r="AC38" s="19">
        <v>85.878359702328552</v>
      </c>
      <c r="AD38" s="19">
        <v>87.06269885152679</v>
      </c>
      <c r="AE38" s="19">
        <v>74.771737332231055</v>
      </c>
      <c r="AF38" s="19">
        <v>65.958050640523183</v>
      </c>
      <c r="AG38" s="20">
        <v>51.250210973735676</v>
      </c>
    </row>
    <row r="39" spans="2:33" ht="16.5" thickBot="1">
      <c r="B39" s="82" t="s">
        <v>172</v>
      </c>
      <c r="C39" s="18">
        <v>4.2229825364692077</v>
      </c>
      <c r="D39" s="19">
        <v>4.7433883557828116</v>
      </c>
      <c r="E39" s="19">
        <v>4.0339357229710853</v>
      </c>
      <c r="F39" s="19">
        <v>3.949251183839027</v>
      </c>
      <c r="G39" s="19">
        <v>3.9155179234378745</v>
      </c>
      <c r="H39" s="19">
        <v>4.0413148736838371</v>
      </c>
      <c r="I39" s="19">
        <v>4.5792900994563741</v>
      </c>
      <c r="J39" s="19">
        <v>5.4465160022693224</v>
      </c>
      <c r="K39" s="19">
        <v>4.4447084459809458</v>
      </c>
      <c r="L39" s="19">
        <v>4.3825127471163219</v>
      </c>
      <c r="M39" s="19">
        <v>4.4429515053350519</v>
      </c>
      <c r="N39" s="19">
        <v>3.8157236947511342</v>
      </c>
      <c r="O39" s="19">
        <v>3.3659468894024416</v>
      </c>
      <c r="P39" s="20">
        <v>2.615381845476811</v>
      </c>
      <c r="S39" s="82" t="s">
        <v>161</v>
      </c>
      <c r="T39" s="18">
        <v>46.626969525768786</v>
      </c>
      <c r="U39" s="19">
        <v>52.372895792008045</v>
      </c>
      <c r="V39" s="19">
        <v>44.539658025946537</v>
      </c>
      <c r="W39" s="19">
        <v>43.604635588293831</v>
      </c>
      <c r="X39" s="19">
        <v>43.232178517693583</v>
      </c>
      <c r="Y39" s="19">
        <v>44.621133010140348</v>
      </c>
      <c r="Z39" s="19">
        <v>50.561047333983915</v>
      </c>
      <c r="AA39" s="19">
        <v>60.136297857332011</v>
      </c>
      <c r="AB39" s="19">
        <v>49.075098812735</v>
      </c>
      <c r="AC39" s="19">
        <v>48.388381088815791</v>
      </c>
      <c r="AD39" s="19">
        <v>49.055700006974568</v>
      </c>
      <c r="AE39" s="19">
        <v>42.130326350501178</v>
      </c>
      <c r="AF39" s="19">
        <v>37.16423207583118</v>
      </c>
      <c r="AG39" s="20">
        <v>28.877062254975623</v>
      </c>
    </row>
    <row r="40" spans="2:33">
      <c r="B40" s="81" t="s">
        <v>173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v>0</v>
      </c>
      <c r="S40" s="81" t="s">
        <v>160</v>
      </c>
      <c r="T40" s="18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20">
        <v>0</v>
      </c>
    </row>
    <row r="41" spans="2:33" ht="16.5" thickBot="1">
      <c r="B41" s="82" t="s">
        <v>174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3">
        <v>0</v>
      </c>
      <c r="S41" s="82" t="s">
        <v>159</v>
      </c>
      <c r="T41" s="21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3">
        <v>0</v>
      </c>
    </row>
    <row r="42" spans="2:33" ht="16.5" thickBot="1"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3" ht="24" customHeight="1" thickBot="1">
      <c r="B43" s="90" t="s">
        <v>66</v>
      </c>
      <c r="C43" s="92" t="s">
        <v>56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4"/>
      <c r="S43" s="90" t="s">
        <v>67</v>
      </c>
      <c r="T43" s="92" t="s">
        <v>56</v>
      </c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4"/>
    </row>
    <row r="44" spans="2:33" ht="16.5" thickBot="1">
      <c r="B44" s="91"/>
      <c r="C44" s="12">
        <v>0.29166666666666669</v>
      </c>
      <c r="D44" s="13">
        <v>0.33333333333333331</v>
      </c>
      <c r="E44" s="13">
        <v>0.375</v>
      </c>
      <c r="F44" s="13">
        <v>0.41666666666666702</v>
      </c>
      <c r="G44" s="13">
        <v>0.45833333333333398</v>
      </c>
      <c r="H44" s="13">
        <v>0.5</v>
      </c>
      <c r="I44" s="13">
        <v>0.54166666666666696</v>
      </c>
      <c r="J44" s="13">
        <v>0.58333333333333304</v>
      </c>
      <c r="K44" s="13">
        <v>0.625</v>
      </c>
      <c r="L44" s="13">
        <v>0.66666666666666696</v>
      </c>
      <c r="M44" s="13">
        <v>0.70833333333333304</v>
      </c>
      <c r="N44" s="13">
        <v>0.75</v>
      </c>
      <c r="O44" s="13">
        <v>0.79166666666666696</v>
      </c>
      <c r="P44" s="14">
        <v>0.83333333333333304</v>
      </c>
      <c r="S44" s="91"/>
      <c r="T44" s="12">
        <v>0.29166666666666669</v>
      </c>
      <c r="U44" s="13">
        <v>0.33333333333333331</v>
      </c>
      <c r="V44" s="13">
        <v>0.375</v>
      </c>
      <c r="W44" s="13">
        <v>0.41666666666666702</v>
      </c>
      <c r="X44" s="13">
        <v>0.45833333333333398</v>
      </c>
      <c r="Y44" s="13">
        <v>0.5</v>
      </c>
      <c r="Z44" s="13">
        <v>0.54166666666666696</v>
      </c>
      <c r="AA44" s="13">
        <v>0.58333333333333304</v>
      </c>
      <c r="AB44" s="13">
        <v>0.625</v>
      </c>
      <c r="AC44" s="13">
        <v>0.66666666666666696</v>
      </c>
      <c r="AD44" s="13">
        <v>0.70833333333333304</v>
      </c>
      <c r="AE44" s="13">
        <v>0.75</v>
      </c>
      <c r="AF44" s="13">
        <v>0.79166666666666696</v>
      </c>
      <c r="AG44" s="14">
        <v>0.83333333333333304</v>
      </c>
    </row>
    <row r="45" spans="2:33">
      <c r="B45" s="81" t="s">
        <v>159</v>
      </c>
      <c r="C45" s="15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7">
        <v>0</v>
      </c>
      <c r="S45" s="81" t="s">
        <v>174</v>
      </c>
      <c r="T45" s="15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7">
        <v>0</v>
      </c>
    </row>
    <row r="46" spans="2:33" ht="16.5" thickBot="1">
      <c r="B46" s="82" t="s">
        <v>160</v>
      </c>
      <c r="C46" s="18">
        <v>2.2752046515665181</v>
      </c>
      <c r="D46" s="19">
        <v>2.5555822592358481</v>
      </c>
      <c r="E46" s="19">
        <v>2.1733524213665851</v>
      </c>
      <c r="F46" s="19">
        <v>2.1277271658309282</v>
      </c>
      <c r="G46" s="19">
        <v>2.1095527901818696</v>
      </c>
      <c r="H46" s="19">
        <v>2.1773280660398169</v>
      </c>
      <c r="I46" s="19">
        <v>2.4671714943596985</v>
      </c>
      <c r="J46" s="19">
        <v>2.9344044016709128</v>
      </c>
      <c r="K46" s="19">
        <v>2.3946633081764754</v>
      </c>
      <c r="L46" s="19">
        <v>2.361154303073524</v>
      </c>
      <c r="M46" s="19">
        <v>2.3937167261114207</v>
      </c>
      <c r="N46" s="19">
        <v>2.0557869288867381</v>
      </c>
      <c r="O46" s="19">
        <v>1.8134619202326239</v>
      </c>
      <c r="P46" s="20">
        <v>1.4090820620410711</v>
      </c>
      <c r="S46" s="82" t="s">
        <v>173</v>
      </c>
      <c r="T46" s="18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20">
        <v>0</v>
      </c>
    </row>
    <row r="47" spans="2:33">
      <c r="B47" s="81" t="s">
        <v>161</v>
      </c>
      <c r="C47" s="18">
        <v>57.281991325542975</v>
      </c>
      <c r="D47" s="19">
        <v>64.34095530899522</v>
      </c>
      <c r="E47" s="19">
        <v>54.717695158698071</v>
      </c>
      <c r="F47" s="19">
        <v>53.569004868345608</v>
      </c>
      <c r="G47" s="19">
        <v>53.111435292105625</v>
      </c>
      <c r="H47" s="19">
        <v>54.817788503500566</v>
      </c>
      <c r="I47" s="19">
        <v>62.115069974577807</v>
      </c>
      <c r="J47" s="19">
        <v>73.87842116374739</v>
      </c>
      <c r="K47" s="19">
        <v>60.289558019370368</v>
      </c>
      <c r="L47" s="19">
        <v>59.445914113177906</v>
      </c>
      <c r="M47" s="19">
        <v>60.265726270607871</v>
      </c>
      <c r="N47" s="19">
        <v>51.757791962395672</v>
      </c>
      <c r="O47" s="19">
        <v>45.656864279195887</v>
      </c>
      <c r="P47" s="20">
        <v>35.475941207856245</v>
      </c>
      <c r="S47" s="81" t="s">
        <v>172</v>
      </c>
      <c r="T47" s="18">
        <v>3.4220720554147031</v>
      </c>
      <c r="U47" s="19">
        <v>3.843780219341244</v>
      </c>
      <c r="V47" s="19">
        <v>3.2688789479248448</v>
      </c>
      <c r="W47" s="19">
        <v>3.2002552696626596</v>
      </c>
      <c r="X47" s="19">
        <v>3.1729196965789672</v>
      </c>
      <c r="Y47" s="19">
        <v>3.2748586045369028</v>
      </c>
      <c r="Z47" s="19">
        <v>3.7108040461112006</v>
      </c>
      <c r="AA47" s="19">
        <v>4.4135560708044519</v>
      </c>
      <c r="AB47" s="19">
        <v>3.6017464993293866</v>
      </c>
      <c r="AC47" s="19">
        <v>3.5513465364563301</v>
      </c>
      <c r="AD47" s="19">
        <v>3.6003227715646116</v>
      </c>
      <c r="AE47" s="19">
        <v>3.0920519595397118</v>
      </c>
      <c r="AF47" s="19">
        <v>2.7275776517571506</v>
      </c>
      <c r="AG47" s="20">
        <v>2.1193611506450023</v>
      </c>
    </row>
    <row r="48" spans="2:33" ht="16.5" thickBot="1">
      <c r="B48" s="82" t="s">
        <v>162</v>
      </c>
      <c r="C48" s="18">
        <v>42.320109818920045</v>
      </c>
      <c r="D48" s="19">
        <v>47.53529392957244</v>
      </c>
      <c r="E48" s="19">
        <v>40.425599993443335</v>
      </c>
      <c r="F48" s="19">
        <v>39.576944105079242</v>
      </c>
      <c r="G48" s="19">
        <v>39.238890307224665</v>
      </c>
      <c r="H48" s="19">
        <v>40.499549261724027</v>
      </c>
      <c r="I48" s="19">
        <v>45.890803058759026</v>
      </c>
      <c r="J48" s="19">
        <v>54.581602778603816</v>
      </c>
      <c r="K48" s="19">
        <v>44.542109261068362</v>
      </c>
      <c r="L48" s="19">
        <v>43.918822571273985</v>
      </c>
      <c r="M48" s="19">
        <v>44.524502292430107</v>
      </c>
      <c r="N48" s="19">
        <v>38.238814488571535</v>
      </c>
      <c r="O48" s="19">
        <v>33.731430517177152</v>
      </c>
      <c r="P48" s="20">
        <v>26.209733514912788</v>
      </c>
      <c r="S48" s="82" t="s">
        <v>171</v>
      </c>
      <c r="T48" s="18">
        <v>7.6450545918839108</v>
      </c>
      <c r="U48" s="19">
        <v>8.5871685751240552</v>
      </c>
      <c r="V48" s="19">
        <v>7.3028146708959305</v>
      </c>
      <c r="W48" s="19">
        <v>7.1495064535016866</v>
      </c>
      <c r="X48" s="19">
        <v>7.0884376200168422</v>
      </c>
      <c r="Y48" s="19">
        <v>7.3161734782207395</v>
      </c>
      <c r="Z48" s="19">
        <v>8.2900941455675756</v>
      </c>
      <c r="AA48" s="19">
        <v>9.8600720730737752</v>
      </c>
      <c r="AB48" s="19">
        <v>8.046454945310332</v>
      </c>
      <c r="AC48" s="19">
        <v>7.9338592835726525</v>
      </c>
      <c r="AD48" s="19">
        <v>8.0432742768996643</v>
      </c>
      <c r="AE48" s="19">
        <v>6.9077756542908464</v>
      </c>
      <c r="AF48" s="19">
        <v>6.0935245411595922</v>
      </c>
      <c r="AG48" s="20">
        <v>4.7347429961218133</v>
      </c>
    </row>
    <row r="49" spans="2:33">
      <c r="B49" s="81" t="s">
        <v>163</v>
      </c>
      <c r="C49" s="18">
        <v>33.108983996399644</v>
      </c>
      <c r="D49" s="19">
        <v>37.189064317473687</v>
      </c>
      <c r="E49" s="19">
        <v>31.626821124868354</v>
      </c>
      <c r="F49" s="19">
        <v>30.962878277212148</v>
      </c>
      <c r="G49" s="19">
        <v>30.698403117979797</v>
      </c>
      <c r="H49" s="19">
        <v>31.684675065950429</v>
      </c>
      <c r="I49" s="19">
        <v>35.902502865791327</v>
      </c>
      <c r="J49" s="19">
        <v>42.701718417722951</v>
      </c>
      <c r="K49" s="19">
        <v>34.847357178437264</v>
      </c>
      <c r="L49" s="19">
        <v>34.359731103602627</v>
      </c>
      <c r="M49" s="19">
        <v>34.833582430560583</v>
      </c>
      <c r="N49" s="19">
        <v>29.9159974385841</v>
      </c>
      <c r="O49" s="19">
        <v>26.389661982152784</v>
      </c>
      <c r="P49" s="20">
        <v>20.505089689233028</v>
      </c>
      <c r="S49" s="81" t="s">
        <v>170</v>
      </c>
      <c r="T49" s="18">
        <v>2.4755414868957426</v>
      </c>
      <c r="U49" s="19">
        <v>2.780606967183028</v>
      </c>
      <c r="V49" s="19">
        <v>2.3647209410520156</v>
      </c>
      <c r="W49" s="19">
        <v>2.3150782801814982</v>
      </c>
      <c r="X49" s="19">
        <v>2.2953036102911679</v>
      </c>
      <c r="Y49" s="19">
        <v>2.3690466500905254</v>
      </c>
      <c r="Z49" s="19">
        <v>2.6844114376123578</v>
      </c>
      <c r="AA49" s="19">
        <v>3.1927852427096028</v>
      </c>
      <c r="AB49" s="19">
        <v>2.6055187441957268</v>
      </c>
      <c r="AC49" s="19">
        <v>2.5690591965854299</v>
      </c>
      <c r="AD49" s="19">
        <v>2.6044888134722721</v>
      </c>
      <c r="AE49" s="19">
        <v>2.2368035451989403</v>
      </c>
      <c r="AF49" s="19">
        <v>1.9731412799945347</v>
      </c>
      <c r="AG49" s="20">
        <v>1.5331548749346824</v>
      </c>
    </row>
    <row r="50" spans="2:33" ht="16.5" thickBot="1">
      <c r="B50" s="82" t="s">
        <v>164</v>
      </c>
      <c r="C50" s="18">
        <v>38.309878230236407</v>
      </c>
      <c r="D50" s="19">
        <v>43.030874207851653</v>
      </c>
      <c r="E50" s="19">
        <v>36.594891170170904</v>
      </c>
      <c r="F50" s="19">
        <v>35.826653472260524</v>
      </c>
      <c r="G50" s="19">
        <v>35.520633476412399</v>
      </c>
      <c r="H50" s="19">
        <v>36.661833044262679</v>
      </c>
      <c r="I50" s="19">
        <v>41.54221443638216</v>
      </c>
      <c r="J50" s="19">
        <v>49.409478496310889</v>
      </c>
      <c r="K50" s="19">
        <v>40.321322161279767</v>
      </c>
      <c r="L50" s="19">
        <v>39.757097793934804</v>
      </c>
      <c r="M50" s="19">
        <v>40.30538361982935</v>
      </c>
      <c r="N50" s="19">
        <v>34.615324322028378</v>
      </c>
      <c r="O50" s="19">
        <v>30.535057710720132</v>
      </c>
      <c r="P50" s="20">
        <v>23.726112803099479</v>
      </c>
      <c r="S50" s="82" t="s">
        <v>169</v>
      </c>
      <c r="T50" s="18">
        <v>7.2799486275886549</v>
      </c>
      <c r="U50" s="19">
        <v>8.1770699387434895</v>
      </c>
      <c r="V50" s="19">
        <v>6.9540531073987149</v>
      </c>
      <c r="W50" s="19">
        <v>6.8080664524437413</v>
      </c>
      <c r="X50" s="19">
        <v>6.7499140919637526</v>
      </c>
      <c r="Y50" s="19">
        <v>6.9667739362537127</v>
      </c>
      <c r="Z50" s="19">
        <v>7.8941829351585415</v>
      </c>
      <c r="AA50" s="19">
        <v>9.3891832024982662</v>
      </c>
      <c r="AB50" s="19">
        <v>7.662179246993583</v>
      </c>
      <c r="AC50" s="19">
        <v>7.5549608323586037</v>
      </c>
      <c r="AD50" s="19">
        <v>7.6591504782185851</v>
      </c>
      <c r="AE50" s="19">
        <v>6.5778800255437844</v>
      </c>
      <c r="AF50" s="19">
        <v>5.8025152191439275</v>
      </c>
      <c r="AG50" s="20">
        <v>4.5086251984641672</v>
      </c>
    </row>
    <row r="51" spans="2:33">
      <c r="B51" s="81" t="s">
        <v>165</v>
      </c>
      <c r="C51" s="18">
        <v>27.112275984569639</v>
      </c>
      <c r="D51" s="19">
        <v>30.453371069704232</v>
      </c>
      <c r="E51" s="19">
        <v>25.898562847633499</v>
      </c>
      <c r="F51" s="19">
        <v>25.354873505623075</v>
      </c>
      <c r="G51" s="19">
        <v>25.138300157768303</v>
      </c>
      <c r="H51" s="19">
        <v>25.945938267476734</v>
      </c>
      <c r="I51" s="19">
        <v>29.399831971285696</v>
      </c>
      <c r="J51" s="19">
        <v>34.967571789052201</v>
      </c>
      <c r="K51" s="19">
        <v>28.53579455224008</v>
      </c>
      <c r="L51" s="19">
        <v>28.136487442132843</v>
      </c>
      <c r="M51" s="19">
        <v>28.524514690372648</v>
      </c>
      <c r="N51" s="19">
        <v>24.497604003697926</v>
      </c>
      <c r="O51" s="19">
        <v>21.609959365634264</v>
      </c>
      <c r="P51" s="20">
        <v>16.79120237586552</v>
      </c>
      <c r="S51" s="81" t="s">
        <v>168</v>
      </c>
      <c r="T51" s="18">
        <v>7.1361051051912661</v>
      </c>
      <c r="U51" s="19">
        <v>8.0155003174385833</v>
      </c>
      <c r="V51" s="19">
        <v>6.81664891060041</v>
      </c>
      <c r="W51" s="19">
        <v>6.6735467862576661</v>
      </c>
      <c r="X51" s="19">
        <v>6.6165434504198926</v>
      </c>
      <c r="Y51" s="19">
        <v>6.8291183903149228</v>
      </c>
      <c r="Z51" s="19">
        <v>7.738202839977748</v>
      </c>
      <c r="AA51" s="19">
        <v>9.2036635988071751</v>
      </c>
      <c r="AB51" s="19">
        <v>7.5107832813749633</v>
      </c>
      <c r="AC51" s="19">
        <v>7.4056833809240699</v>
      </c>
      <c r="AD51" s="19">
        <v>7.5078143576334133</v>
      </c>
      <c r="AE51" s="19">
        <v>6.4479085818998128</v>
      </c>
      <c r="AF51" s="19">
        <v>5.6878641040628333</v>
      </c>
      <c r="AG51" s="20">
        <v>4.4195398816723745</v>
      </c>
    </row>
    <row r="52" spans="2:33" ht="16.5" thickBot="1">
      <c r="B52" s="82" t="s">
        <v>166</v>
      </c>
      <c r="C52" s="18">
        <v>19.494525159085313</v>
      </c>
      <c r="D52" s="19">
        <v>21.89687095377705</v>
      </c>
      <c r="E52" s="19">
        <v>18.621829657705057</v>
      </c>
      <c r="F52" s="19">
        <v>18.230901003741039</v>
      </c>
      <c r="G52" s="19">
        <v>18.075178386394377</v>
      </c>
      <c r="H52" s="19">
        <v>18.65589398024964</v>
      </c>
      <c r="I52" s="19">
        <v>21.139345304809432</v>
      </c>
      <c r="J52" s="19">
        <v>25.14271425909655</v>
      </c>
      <c r="K52" s="19">
        <v>20.518076946020145</v>
      </c>
      <c r="L52" s="19">
        <v>20.230963370287238</v>
      </c>
      <c r="M52" s="19">
        <v>20.509966393033338</v>
      </c>
      <c r="N52" s="19">
        <v>17.614498976743832</v>
      </c>
      <c r="O52" s="19">
        <v>15.538197412121669</v>
      </c>
      <c r="P52" s="20">
        <v>12.073369176158426</v>
      </c>
      <c r="S52" s="82" t="s">
        <v>167</v>
      </c>
      <c r="T52" s="18">
        <v>4.0885533527263966</v>
      </c>
      <c r="U52" s="19">
        <v>4.5923932192089882</v>
      </c>
      <c r="V52" s="19">
        <v>3.9055244208103694</v>
      </c>
      <c r="W52" s="19">
        <v>3.8235356241714062</v>
      </c>
      <c r="X52" s="19">
        <v>3.7908761865060927</v>
      </c>
      <c r="Y52" s="19">
        <v>3.9126686727996569</v>
      </c>
      <c r="Z52" s="19">
        <v>4.4335186630662662</v>
      </c>
      <c r="AA52" s="19">
        <v>5.2731383730453603</v>
      </c>
      <c r="AB52" s="19">
        <v>4.303221114880694</v>
      </c>
      <c r="AC52" s="19">
        <v>4.2430052766852731</v>
      </c>
      <c r="AD52" s="19">
        <v>4.301520102502292</v>
      </c>
      <c r="AE52" s="19">
        <v>3.6942586834128748</v>
      </c>
      <c r="AF52" s="19">
        <v>3.2587995145420323</v>
      </c>
      <c r="AG52" s="20">
        <v>2.5321270264888138</v>
      </c>
    </row>
    <row r="53" spans="2:33">
      <c r="B53" s="81" t="s">
        <v>167</v>
      </c>
      <c r="C53" s="18">
        <v>82.313938740595404</v>
      </c>
      <c r="D53" s="19">
        <v>92.457635135571408</v>
      </c>
      <c r="E53" s="19">
        <v>78.629057808456906</v>
      </c>
      <c r="F53" s="19">
        <v>76.978395532164399</v>
      </c>
      <c r="G53" s="19">
        <v>76.320870310072763</v>
      </c>
      <c r="H53" s="19">
        <v>78.772891450789444</v>
      </c>
      <c r="I53" s="19">
        <v>89.25904889893819</v>
      </c>
      <c r="J53" s="19">
        <v>106.16292648354376</v>
      </c>
      <c r="K53" s="19">
        <v>86.635797231635138</v>
      </c>
      <c r="L53" s="19">
        <v>85.423485103403721</v>
      </c>
      <c r="M53" s="19">
        <v>86.601551126317872</v>
      </c>
      <c r="N53" s="19">
        <v>74.375691528051703</v>
      </c>
      <c r="O53" s="19">
        <v>65.60868856683004</v>
      </c>
      <c r="P53" s="20">
        <v>50.978752375291357</v>
      </c>
      <c r="S53" s="81" t="s">
        <v>166</v>
      </c>
      <c r="T53" s="18">
        <v>10.317285130917893</v>
      </c>
      <c r="U53" s="19">
        <v>11.588702944105561</v>
      </c>
      <c r="V53" s="19">
        <v>9.8554196457761201</v>
      </c>
      <c r="W53" s="19">
        <v>9.6485245120973708</v>
      </c>
      <c r="X53" s="19">
        <v>9.5661098530386148</v>
      </c>
      <c r="Y53" s="19">
        <v>9.8734478524452207</v>
      </c>
      <c r="Z53" s="19">
        <v>11.187789967225992</v>
      </c>
      <c r="AA53" s="19">
        <v>13.306533493861487</v>
      </c>
      <c r="AB53" s="19">
        <v>10.858989817022835</v>
      </c>
      <c r="AC53" s="19">
        <v>10.707037789383255</v>
      </c>
      <c r="AD53" s="19">
        <v>10.854697386863524</v>
      </c>
      <c r="AE53" s="19">
        <v>9.322299819989798</v>
      </c>
      <c r="AF53" s="19">
        <v>8.2234376992064</v>
      </c>
      <c r="AG53" s="20">
        <v>6.3897115351491003</v>
      </c>
    </row>
    <row r="54" spans="2:33" ht="16.5" thickBot="1">
      <c r="B54" s="82" t="s">
        <v>168</v>
      </c>
      <c r="C54" s="18">
        <v>43.00299521908461</v>
      </c>
      <c r="D54" s="19">
        <v>48.302332539725668</v>
      </c>
      <c r="E54" s="19">
        <v>41.077915220094127</v>
      </c>
      <c r="F54" s="19">
        <v>40.215565257721074</v>
      </c>
      <c r="G54" s="19">
        <v>39.87205655901645</v>
      </c>
      <c r="H54" s="19">
        <v>41.153057747935762</v>
      </c>
      <c r="I54" s="19">
        <v>46.631305849152149</v>
      </c>
      <c r="J54" s="19">
        <v>55.462341978350089</v>
      </c>
      <c r="K54" s="19">
        <v>45.260849269945176</v>
      </c>
      <c r="L54" s="19">
        <v>44.62750510670854</v>
      </c>
      <c r="M54" s="19">
        <v>45.242958191887645</v>
      </c>
      <c r="N54" s="19">
        <v>38.855843325348623</v>
      </c>
      <c r="O54" s="19">
        <v>34.275727342620357</v>
      </c>
      <c r="P54" s="20">
        <v>26.632658796442563</v>
      </c>
      <c r="S54" s="82" t="s">
        <v>165</v>
      </c>
      <c r="T54" s="18">
        <v>2.5629135393744158</v>
      </c>
      <c r="U54" s="19">
        <v>2.8787460366130171</v>
      </c>
      <c r="V54" s="19">
        <v>2.4481816801479694</v>
      </c>
      <c r="W54" s="19">
        <v>2.396786925364375</v>
      </c>
      <c r="X54" s="19">
        <v>2.3763143259485036</v>
      </c>
      <c r="Y54" s="19">
        <v>2.452660061270191</v>
      </c>
      <c r="Z54" s="19">
        <v>2.7791553707045584</v>
      </c>
      <c r="AA54" s="19">
        <v>3.3054717806875895</v>
      </c>
      <c r="AB54" s="19">
        <v>2.6974782292849881</v>
      </c>
      <c r="AC54" s="19">
        <v>2.6597318741119751</v>
      </c>
      <c r="AD54" s="19">
        <v>2.6964119480654114</v>
      </c>
      <c r="AE54" s="19">
        <v>2.3157495526765506</v>
      </c>
      <c r="AF54" s="19">
        <v>2.0427815604649302</v>
      </c>
      <c r="AG54" s="20">
        <v>1.5872662234617889</v>
      </c>
    </row>
    <row r="55" spans="2:33">
      <c r="B55" s="81" t="s">
        <v>169</v>
      </c>
      <c r="C55" s="18">
        <v>11.796100805145677</v>
      </c>
      <c r="D55" s="19">
        <v>13.249755763742842</v>
      </c>
      <c r="E55" s="19">
        <v>11.268034385344681</v>
      </c>
      <c r="F55" s="19">
        <v>11.031484186140146</v>
      </c>
      <c r="G55" s="19">
        <v>10.937256720896844</v>
      </c>
      <c r="H55" s="19">
        <v>11.288646643366652</v>
      </c>
      <c r="I55" s="19">
        <v>12.791378406778037</v>
      </c>
      <c r="J55" s="19">
        <v>15.213809492407888</v>
      </c>
      <c r="K55" s="19">
        <v>12.41545008190112</v>
      </c>
      <c r="L55" s="19">
        <v>12.241718192858787</v>
      </c>
      <c r="M55" s="19">
        <v>12.410542401419699</v>
      </c>
      <c r="N55" s="19">
        <v>10.658500469552081</v>
      </c>
      <c r="O55" s="19">
        <v>9.4021342663080745</v>
      </c>
      <c r="P55" s="20">
        <v>7.30557316464464</v>
      </c>
      <c r="S55" s="81" t="s">
        <v>164</v>
      </c>
      <c r="T55" s="18">
        <v>8.8624749281086252</v>
      </c>
      <c r="U55" s="19">
        <v>9.9546138337941681</v>
      </c>
      <c r="V55" s="19">
        <v>8.4657357442741716</v>
      </c>
      <c r="W55" s="19">
        <v>8.2880142883185908</v>
      </c>
      <c r="X55" s="19">
        <v>8.2172206793072391</v>
      </c>
      <c r="Y55" s="19">
        <v>8.4812218462454059</v>
      </c>
      <c r="Z55" s="19">
        <v>9.6102324232910288</v>
      </c>
      <c r="AA55" s="19">
        <v>11.430218121624536</v>
      </c>
      <c r="AB55" s="19">
        <v>9.3277954206728229</v>
      </c>
      <c r="AC55" s="19">
        <v>9.1972697040581437</v>
      </c>
      <c r="AD55" s="19">
        <v>9.3241082535368154</v>
      </c>
      <c r="AE55" s="19">
        <v>8.007789585981989</v>
      </c>
      <c r="AF55" s="19">
        <v>7.0638747991639628</v>
      </c>
      <c r="AG55" s="20">
        <v>5.4887169986613822</v>
      </c>
    </row>
    <row r="56" spans="2:33" ht="16.5" thickBot="1">
      <c r="B56" s="82" t="s">
        <v>170</v>
      </c>
      <c r="C56" s="18">
        <v>26.926246322833798</v>
      </c>
      <c r="D56" s="19">
        <v>30.244416634376215</v>
      </c>
      <c r="E56" s="19">
        <v>25.720861023975033</v>
      </c>
      <c r="F56" s="19">
        <v>25.180902181921201</v>
      </c>
      <c r="G56" s="19">
        <v>24.965814842347889</v>
      </c>
      <c r="H56" s="19">
        <v>25.767911379506693</v>
      </c>
      <c r="I56" s="19">
        <v>29.198106347076884</v>
      </c>
      <c r="J56" s="19">
        <v>34.72764336860741</v>
      </c>
      <c r="K56" s="19">
        <v>28.339997481904199</v>
      </c>
      <c r="L56" s="19">
        <v>27.94343019956591</v>
      </c>
      <c r="M56" s="19">
        <v>28.32879501630142</v>
      </c>
      <c r="N56" s="19">
        <v>24.329514796110182</v>
      </c>
      <c r="O56" s="19">
        <v>21.461683601799379</v>
      </c>
      <c r="P56" s="20">
        <v>16.675990296293222</v>
      </c>
      <c r="S56" s="82" t="s">
        <v>163</v>
      </c>
      <c r="T56" s="18">
        <v>16.557950475277103</v>
      </c>
      <c r="U56" s="19">
        <v>18.598416830235113</v>
      </c>
      <c r="V56" s="19">
        <v>15.816714216690059</v>
      </c>
      <c r="W56" s="19">
        <v>15.484673439144563</v>
      </c>
      <c r="X56" s="19">
        <v>15.352408233151337</v>
      </c>
      <c r="Y56" s="19">
        <v>15.845647230501077</v>
      </c>
      <c r="Z56" s="19">
        <v>17.955001713580565</v>
      </c>
      <c r="AA56" s="19">
        <v>21.355319717656439</v>
      </c>
      <c r="AB56" s="19">
        <v>17.427318652170083</v>
      </c>
      <c r="AC56" s="19">
        <v>17.183454678620073</v>
      </c>
      <c r="AD56" s="19">
        <v>17.420429839357936</v>
      </c>
      <c r="AE56" s="19">
        <v>14.961123665421372</v>
      </c>
      <c r="AF56" s="19">
        <v>13.19758758551168</v>
      </c>
      <c r="AG56" s="20">
        <v>10.25468675216238</v>
      </c>
    </row>
    <row r="57" spans="2:33">
      <c r="B57" s="81" t="s">
        <v>171</v>
      </c>
      <c r="C57" s="18">
        <v>69.211916991068492</v>
      </c>
      <c r="D57" s="19">
        <v>77.741027414081671</v>
      </c>
      <c r="E57" s="19">
        <v>66.11356357609138</v>
      </c>
      <c r="F57" s="19">
        <v>64.725639462690864</v>
      </c>
      <c r="G57" s="19">
        <v>64.172773425817624</v>
      </c>
      <c r="H57" s="19">
        <v>66.234503021657403</v>
      </c>
      <c r="I57" s="19">
        <v>75.051564505542061</v>
      </c>
      <c r="J57" s="19">
        <v>89.264828870158226</v>
      </c>
      <c r="K57" s="19">
        <v>72.845859379266543</v>
      </c>
      <c r="L57" s="19">
        <v>71.826512623781511</v>
      </c>
      <c r="M57" s="19">
        <v>72.817064273179383</v>
      </c>
      <c r="N57" s="19">
        <v>62.537211400067626</v>
      </c>
      <c r="O57" s="19">
        <v>55.165664241757788</v>
      </c>
      <c r="P57" s="20">
        <v>42.864394921328241</v>
      </c>
      <c r="S57" s="81" t="s">
        <v>162</v>
      </c>
      <c r="T57" s="18">
        <v>35.546227400292231</v>
      </c>
      <c r="U57" s="19">
        <v>39.926653659223234</v>
      </c>
      <c r="V57" s="19">
        <v>33.954958441949977</v>
      </c>
      <c r="W57" s="19">
        <v>33.242140934588484</v>
      </c>
      <c r="X57" s="19">
        <v>32.95819703124117</v>
      </c>
      <c r="Y57" s="19">
        <v>34.017071170807199</v>
      </c>
      <c r="Z57" s="19">
        <v>38.545384879398263</v>
      </c>
      <c r="AA57" s="19">
        <v>45.845109394618873</v>
      </c>
      <c r="AB57" s="19">
        <v>37.412567015002196</v>
      </c>
      <c r="AC57" s="19">
        <v>36.889045443205589</v>
      </c>
      <c r="AD57" s="19">
        <v>37.397778270036198</v>
      </c>
      <c r="AE57" s="19">
        <v>32.118196317172021</v>
      </c>
      <c r="AF57" s="19">
        <v>28.332277605874463</v>
      </c>
      <c r="AG57" s="20">
        <v>22.014525756396662</v>
      </c>
    </row>
    <row r="58" spans="2:33" ht="16.5" thickBot="1">
      <c r="B58" s="82" t="s">
        <v>172</v>
      </c>
      <c r="C58" s="18">
        <v>31.691882115239295</v>
      </c>
      <c r="D58" s="19">
        <v>35.597330393877122</v>
      </c>
      <c r="E58" s="19">
        <v>30.273157487347902</v>
      </c>
      <c r="F58" s="19">
        <v>29.637632142883543</v>
      </c>
      <c r="G58" s="19">
        <v>29.384476818947533</v>
      </c>
      <c r="H58" s="19">
        <v>30.328535214458899</v>
      </c>
      <c r="I58" s="19">
        <v>34.3658352243134</v>
      </c>
      <c r="J58" s="19">
        <v>40.874036677168334</v>
      </c>
      <c r="K58" s="19">
        <v>33.355850963193689</v>
      </c>
      <c r="L58" s="19">
        <v>32.889095834686678</v>
      </c>
      <c r="M58" s="19">
        <v>33.342665790072026</v>
      </c>
      <c r="N58" s="19">
        <v>28.635558985636834</v>
      </c>
      <c r="O58" s="19">
        <v>25.260154666490031</v>
      </c>
      <c r="P58" s="20">
        <v>19.627448708913803</v>
      </c>
      <c r="S58" s="82" t="s">
        <v>161</v>
      </c>
      <c r="T58" s="18">
        <v>105.96409714569762</v>
      </c>
      <c r="U58" s="19">
        <v>119.02224557911232</v>
      </c>
      <c r="V58" s="19">
        <v>101.22048886941326</v>
      </c>
      <c r="W58" s="19">
        <v>99.095563972415988</v>
      </c>
      <c r="X58" s="19">
        <v>98.249120859919159</v>
      </c>
      <c r="Y58" s="19">
        <v>101.40564830027193</v>
      </c>
      <c r="Z58" s="19">
        <v>114.90465252144543</v>
      </c>
      <c r="AA58" s="19">
        <v>136.66529420521826</v>
      </c>
      <c r="AB58" s="19">
        <v>111.52769718721326</v>
      </c>
      <c r="AC58" s="19">
        <v>109.96706769854723</v>
      </c>
      <c r="AD58" s="19">
        <v>111.48361160843739</v>
      </c>
      <c r="AE58" s="19">
        <v>95.745059985449345</v>
      </c>
      <c r="AF58" s="19">
        <v>84.459151818824878</v>
      </c>
      <c r="AG58" s="20">
        <v>65.625792565770283</v>
      </c>
    </row>
    <row r="59" spans="2:33">
      <c r="B59" s="81" t="s">
        <v>173</v>
      </c>
      <c r="C59" s="18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v>0</v>
      </c>
      <c r="S59" s="81" t="s">
        <v>160</v>
      </c>
      <c r="T59" s="18">
        <v>214.33092573455875</v>
      </c>
      <c r="U59" s="19">
        <v>240.74331556754933</v>
      </c>
      <c r="V59" s="19">
        <v>204.73614806396523</v>
      </c>
      <c r="W59" s="19">
        <v>200.43811568736109</v>
      </c>
      <c r="X59" s="19">
        <v>198.72603640041504</v>
      </c>
      <c r="Y59" s="19">
        <v>205.11066540798467</v>
      </c>
      <c r="Z59" s="19">
        <v>232.41476320292637</v>
      </c>
      <c r="AA59" s="19">
        <v>276.4294682048311</v>
      </c>
      <c r="AB59" s="19">
        <v>225.58428021438121</v>
      </c>
      <c r="AC59" s="19">
        <v>222.42763402907443</v>
      </c>
      <c r="AD59" s="19">
        <v>225.4951094181861</v>
      </c>
      <c r="AE59" s="19">
        <v>193.66113517653295</v>
      </c>
      <c r="AF59" s="19">
        <v>170.83341135058564</v>
      </c>
      <c r="AG59" s="20">
        <v>132.73964721603599</v>
      </c>
    </row>
    <row r="60" spans="2:33" ht="16.5" thickBot="1">
      <c r="B60" s="82" t="s">
        <v>174</v>
      </c>
      <c r="C60" s="21">
        <v>190.82201881429708</v>
      </c>
      <c r="D60" s="22">
        <v>214.33736328625361</v>
      </c>
      <c r="E60" s="22">
        <v>182.27964519788068</v>
      </c>
      <c r="F60" s="22">
        <v>178.45304289015516</v>
      </c>
      <c r="G60" s="22">
        <v>176.92875317421471</v>
      </c>
      <c r="H60" s="22">
        <v>182.61308357324268</v>
      </c>
      <c r="I60" s="22">
        <v>206.92232893891821</v>
      </c>
      <c r="J60" s="22">
        <v>246.10927705288773</v>
      </c>
      <c r="K60" s="22">
        <v>200.84104809303074</v>
      </c>
      <c r="L60" s="22">
        <v>198.03063892926554</v>
      </c>
      <c r="M60" s="22">
        <v>200.76165800365885</v>
      </c>
      <c r="N60" s="22">
        <v>172.4193960978908</v>
      </c>
      <c r="O60" s="22">
        <v>152.09553321868461</v>
      </c>
      <c r="P60" s="23">
        <v>118.18008703900924</v>
      </c>
      <c r="S60" s="82" t="s">
        <v>159</v>
      </c>
      <c r="T60" s="21">
        <v>348.86349973947057</v>
      </c>
      <c r="U60" s="22">
        <v>391.85458337353242</v>
      </c>
      <c r="V60" s="22">
        <v>333.2462120992779</v>
      </c>
      <c r="W60" s="22">
        <v>326.25036391844816</v>
      </c>
      <c r="X60" s="22">
        <v>323.46363601239142</v>
      </c>
      <c r="Y60" s="22">
        <v>333.85580882872779</v>
      </c>
      <c r="Z60" s="22">
        <v>378.29831324719419</v>
      </c>
      <c r="AA60" s="22">
        <v>449.94044316540135</v>
      </c>
      <c r="AB60" s="22">
        <v>367.18043003865557</v>
      </c>
      <c r="AC60" s="22">
        <v>362.04240046186362</v>
      </c>
      <c r="AD60" s="22">
        <v>367.0352879602151</v>
      </c>
      <c r="AE60" s="22">
        <v>315.21956595697372</v>
      </c>
      <c r="AF60" s="22">
        <v>278.06319387621801</v>
      </c>
      <c r="AG60" s="23">
        <v>216.05849796645694</v>
      </c>
    </row>
    <row r="61" spans="2:33" ht="16.5" thickBot="1"/>
    <row r="62" spans="2:33" ht="16.5" customHeight="1" thickBot="1">
      <c r="B62" s="90" t="s">
        <v>66</v>
      </c>
      <c r="C62" s="92" t="s">
        <v>41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4"/>
      <c r="S62" s="90" t="s">
        <v>67</v>
      </c>
      <c r="T62" s="92" t="s">
        <v>41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4"/>
    </row>
    <row r="63" spans="2:33" ht="16.5" thickBot="1">
      <c r="B63" s="91"/>
      <c r="C63" s="12">
        <v>0.29166666666666669</v>
      </c>
      <c r="D63" s="13">
        <v>0.33333333333333331</v>
      </c>
      <c r="E63" s="13">
        <v>0.375</v>
      </c>
      <c r="F63" s="13">
        <v>0.41666666666666702</v>
      </c>
      <c r="G63" s="13">
        <v>0.45833333333333398</v>
      </c>
      <c r="H63" s="13">
        <v>0.5</v>
      </c>
      <c r="I63" s="13">
        <v>0.54166666666666696</v>
      </c>
      <c r="J63" s="13">
        <v>0.58333333333333304</v>
      </c>
      <c r="K63" s="13">
        <v>0.625</v>
      </c>
      <c r="L63" s="13">
        <v>0.66666666666666696</v>
      </c>
      <c r="M63" s="13">
        <v>0.70833333333333304</v>
      </c>
      <c r="N63" s="13">
        <v>0.75</v>
      </c>
      <c r="O63" s="13">
        <v>0.79166666666666696</v>
      </c>
      <c r="P63" s="14">
        <v>0.83333333333333304</v>
      </c>
      <c r="S63" s="91"/>
      <c r="T63" s="12">
        <v>0.29166666666666669</v>
      </c>
      <c r="U63" s="13">
        <v>0.33333333333333331</v>
      </c>
      <c r="V63" s="13">
        <v>0.375</v>
      </c>
      <c r="W63" s="13">
        <v>0.41666666666666702</v>
      </c>
      <c r="X63" s="13">
        <v>0.45833333333333398</v>
      </c>
      <c r="Y63" s="13">
        <v>0.5</v>
      </c>
      <c r="Z63" s="13">
        <v>0.54166666666666696</v>
      </c>
      <c r="AA63" s="13">
        <v>0.58333333333333304</v>
      </c>
      <c r="AB63" s="13">
        <v>0.625</v>
      </c>
      <c r="AC63" s="13">
        <v>0.66666666666666696</v>
      </c>
      <c r="AD63" s="13">
        <v>0.70833333333333304</v>
      </c>
      <c r="AE63" s="13">
        <v>0.75</v>
      </c>
      <c r="AF63" s="13">
        <v>0.79166666666666696</v>
      </c>
      <c r="AG63" s="14">
        <v>0.83333333333333304</v>
      </c>
    </row>
    <row r="64" spans="2:33">
      <c r="B64" s="81" t="s">
        <v>159</v>
      </c>
      <c r="C64" s="15">
        <f>C26-C45</f>
        <v>270.43033632980291</v>
      </c>
      <c r="D64" s="16">
        <f t="shared" ref="D64:P64" si="2">D26-D45</f>
        <v>303.75595857180969</v>
      </c>
      <c r="E64" s="16">
        <f t="shared" si="2"/>
        <v>258.32420211899961</v>
      </c>
      <c r="F64" s="16">
        <f t="shared" si="2"/>
        <v>252.90119404315647</v>
      </c>
      <c r="G64" s="16">
        <f t="shared" si="2"/>
        <v>250.74099165609863</v>
      </c>
      <c r="H64" s="16">
        <f t="shared" si="2"/>
        <v>258.79674639116848</v>
      </c>
      <c r="I64" s="16">
        <f t="shared" si="2"/>
        <v>293.24747404310131</v>
      </c>
      <c r="J64" s="16">
        <f t="shared" si="2"/>
        <v>348.78267707704646</v>
      </c>
      <c r="K64" s="16">
        <f t="shared" si="2"/>
        <v>284.62916660306843</v>
      </c>
      <c r="L64" s="16">
        <f t="shared" si="2"/>
        <v>280.64629345193055</v>
      </c>
      <c r="M64" s="16">
        <f t="shared" si="2"/>
        <v>284.51665606207581</v>
      </c>
      <c r="N64" s="16">
        <f t="shared" si="2"/>
        <v>244.35039292771921</v>
      </c>
      <c r="O64" s="16">
        <f t="shared" si="2"/>
        <v>215.54769443361474</v>
      </c>
      <c r="P64" s="17">
        <f t="shared" si="2"/>
        <v>167.48319132157789</v>
      </c>
      <c r="S64" s="81" t="s">
        <v>174</v>
      </c>
      <c r="T64" s="15">
        <f>T26-T45</f>
        <v>208.79153760741087</v>
      </c>
      <c r="U64" s="16">
        <f t="shared" ref="U64:AG64" si="3">U26-U45</f>
        <v>234.52129856568803</v>
      </c>
      <c r="V64" s="16">
        <f t="shared" si="3"/>
        <v>199.44473720528177</v>
      </c>
      <c r="W64" s="16">
        <f t="shared" si="3"/>
        <v>195.25778758276672</v>
      </c>
      <c r="X64" s="16">
        <f t="shared" si="3"/>
        <v>193.58995702773996</v>
      </c>
      <c r="Y64" s="16">
        <f t="shared" si="3"/>
        <v>199.8095751391939</v>
      </c>
      <c r="Z64" s="16">
        <f t="shared" si="3"/>
        <v>226.40799784488084</v>
      </c>
      <c r="AA64" s="16">
        <f t="shared" si="3"/>
        <v>269.2851416970268</v>
      </c>
      <c r="AB64" s="16">
        <f t="shared" si="3"/>
        <v>219.75404885972202</v>
      </c>
      <c r="AC64" s="16">
        <f t="shared" si="3"/>
        <v>216.67898627389152</v>
      </c>
      <c r="AD64" s="16">
        <f t="shared" si="3"/>
        <v>219.66718268498107</v>
      </c>
      <c r="AE64" s="16">
        <f t="shared" si="3"/>
        <v>188.65595830245252</v>
      </c>
      <c r="AF64" s="16">
        <f t="shared" si="3"/>
        <v>166.41821756876257</v>
      </c>
      <c r="AG64" s="17">
        <f t="shared" si="3"/>
        <v>129.30898771941744</v>
      </c>
    </row>
    <row r="65" spans="2:33" ht="16.5" thickBot="1">
      <c r="B65" s="82" t="s">
        <v>160</v>
      </c>
      <c r="C65" s="18">
        <f>C64+C27-C46</f>
        <v>442.69027181007147</v>
      </c>
      <c r="D65" s="19">
        <f t="shared" ref="D65:P79" si="4">D64+D27-D46</f>
        <v>497.24379923149888</v>
      </c>
      <c r="E65" s="19">
        <f t="shared" si="4"/>
        <v>422.87271762186884</v>
      </c>
      <c r="F65" s="19">
        <f t="shared" si="4"/>
        <v>413.99533740001596</v>
      </c>
      <c r="G65" s="19">
        <f t="shared" si="4"/>
        <v>410.45911955230702</v>
      </c>
      <c r="H65" s="19">
        <f t="shared" si="4"/>
        <v>423.64626527605515</v>
      </c>
      <c r="I65" s="19">
        <f t="shared" si="4"/>
        <v>480.04157282649783</v>
      </c>
      <c r="J65" s="19">
        <f t="shared" si="4"/>
        <v>570.9518399946835</v>
      </c>
      <c r="K65" s="19">
        <f t="shared" si="4"/>
        <v>465.93353703824204</v>
      </c>
      <c r="L65" s="19">
        <f t="shared" si="4"/>
        <v>459.41363538152859</v>
      </c>
      <c r="M65" s="19">
        <f t="shared" si="4"/>
        <v>465.74935902534054</v>
      </c>
      <c r="N65" s="19">
        <f t="shared" si="4"/>
        <v>399.99780841950121</v>
      </c>
      <c r="O65" s="19">
        <f t="shared" si="4"/>
        <v>352.84823711671447</v>
      </c>
      <c r="P65" s="20">
        <f t="shared" si="4"/>
        <v>274.16739000518902</v>
      </c>
      <c r="S65" s="82" t="s">
        <v>173</v>
      </c>
      <c r="T65" s="18">
        <f>T64+T27-T46</f>
        <v>208.79153760741087</v>
      </c>
      <c r="U65" s="19">
        <f t="shared" ref="U65:AG79" si="5">U64+U27-U46</f>
        <v>234.52129856568803</v>
      </c>
      <c r="V65" s="19">
        <f t="shared" si="5"/>
        <v>199.44473720528177</v>
      </c>
      <c r="W65" s="19">
        <f t="shared" si="5"/>
        <v>195.25778758276672</v>
      </c>
      <c r="X65" s="19">
        <f t="shared" si="5"/>
        <v>193.58995702773996</v>
      </c>
      <c r="Y65" s="19">
        <f t="shared" si="5"/>
        <v>199.8095751391939</v>
      </c>
      <c r="Z65" s="19">
        <f t="shared" si="5"/>
        <v>226.40799784488084</v>
      </c>
      <c r="AA65" s="19">
        <f t="shared" si="5"/>
        <v>269.2851416970268</v>
      </c>
      <c r="AB65" s="19">
        <f t="shared" si="5"/>
        <v>219.75404885972202</v>
      </c>
      <c r="AC65" s="19">
        <f t="shared" si="5"/>
        <v>216.67898627389152</v>
      </c>
      <c r="AD65" s="19">
        <f t="shared" si="5"/>
        <v>219.66718268498107</v>
      </c>
      <c r="AE65" s="19">
        <f t="shared" si="5"/>
        <v>188.65595830245252</v>
      </c>
      <c r="AF65" s="19">
        <f t="shared" si="5"/>
        <v>166.41821756876257</v>
      </c>
      <c r="AG65" s="20">
        <f t="shared" si="5"/>
        <v>129.30898771941744</v>
      </c>
    </row>
    <row r="66" spans="2:33">
      <c r="B66" s="81" t="s">
        <v>161</v>
      </c>
      <c r="C66" s="18">
        <f>C65+C28-C47</f>
        <v>504.77233807870527</v>
      </c>
      <c r="D66" s="19">
        <f t="shared" si="4"/>
        <v>566.97635144986202</v>
      </c>
      <c r="E66" s="19">
        <f t="shared" si="4"/>
        <v>482.17560668526681</v>
      </c>
      <c r="F66" s="19">
        <f t="shared" si="4"/>
        <v>472.05327905363356</v>
      </c>
      <c r="G66" s="19">
        <f t="shared" si="4"/>
        <v>468.02114854476724</v>
      </c>
      <c r="H66" s="19">
        <f t="shared" si="4"/>
        <v>483.0576352340812</v>
      </c>
      <c r="I66" s="19">
        <f t="shared" si="4"/>
        <v>547.36171657860609</v>
      </c>
      <c r="J66" s="19">
        <f t="shared" si="4"/>
        <v>651.02107174404478</v>
      </c>
      <c r="K66" s="19">
        <f t="shared" si="4"/>
        <v>531.27519590260795</v>
      </c>
      <c r="L66" s="19">
        <f t="shared" si="4"/>
        <v>523.84095527688567</v>
      </c>
      <c r="M66" s="19">
        <f t="shared" si="4"/>
        <v>531.0651891052712</v>
      </c>
      <c r="N66" s="19">
        <f t="shared" si="4"/>
        <v>456.09276245603763</v>
      </c>
      <c r="O66" s="19">
        <f t="shared" si="4"/>
        <v>402.33102233781977</v>
      </c>
      <c r="P66" s="20">
        <f t="shared" si="4"/>
        <v>312.61611851554363</v>
      </c>
      <c r="S66" s="81" t="s">
        <v>172</v>
      </c>
      <c r="T66" s="18">
        <f>T65+T28-T47</f>
        <v>277.43014831413177</v>
      </c>
      <c r="U66" s="19">
        <f t="shared" si="5"/>
        <v>311.61837011919329</v>
      </c>
      <c r="V66" s="19">
        <f t="shared" si="5"/>
        <v>265.01065923167187</v>
      </c>
      <c r="W66" s="19">
        <f t="shared" si="5"/>
        <v>259.44728215198262</v>
      </c>
      <c r="X66" s="19">
        <f t="shared" si="5"/>
        <v>257.23116514098604</v>
      </c>
      <c r="Y66" s="19">
        <f t="shared" si="5"/>
        <v>265.49543482782735</v>
      </c>
      <c r="Z66" s="19">
        <f t="shared" si="5"/>
        <v>300.83788424278293</v>
      </c>
      <c r="AA66" s="19">
        <f t="shared" si="5"/>
        <v>357.81055906715278</v>
      </c>
      <c r="AB66" s="19">
        <f t="shared" si="5"/>
        <v>291.99650075099447</v>
      </c>
      <c r="AC66" s="19">
        <f t="shared" si="5"/>
        <v>287.91053501196973</v>
      </c>
      <c r="AD66" s="19">
        <f t="shared" si="5"/>
        <v>291.88107799000517</v>
      </c>
      <c r="AE66" s="19">
        <f t="shared" si="5"/>
        <v>250.67515231678792</v>
      </c>
      <c r="AF66" s="19">
        <f t="shared" si="5"/>
        <v>221.12692550350044</v>
      </c>
      <c r="AG66" s="20">
        <f t="shared" si="5"/>
        <v>171.81832200882698</v>
      </c>
    </row>
    <row r="67" spans="2:33" ht="16.5" thickBot="1">
      <c r="B67" s="82" t="s">
        <v>162</v>
      </c>
      <c r="C67" s="18">
        <f t="shared" ref="C67:C78" si="6">C66+C29-C48</f>
        <v>492.04106507186282</v>
      </c>
      <c r="D67" s="19">
        <f t="shared" si="4"/>
        <v>552.67618051298689</v>
      </c>
      <c r="E67" s="19">
        <f t="shared" si="4"/>
        <v>470.01426418913178</v>
      </c>
      <c r="F67" s="19">
        <f t="shared" si="4"/>
        <v>460.14724000188602</v>
      </c>
      <c r="G67" s="19">
        <f t="shared" si="4"/>
        <v>456.21680713061807</v>
      </c>
      <c r="H67" s="19">
        <f t="shared" si="4"/>
        <v>470.87404637972151</v>
      </c>
      <c r="I67" s="19">
        <f t="shared" si="4"/>
        <v>533.55626227463119</v>
      </c>
      <c r="J67" s="19">
        <f t="shared" si="4"/>
        <v>634.60114067347911</v>
      </c>
      <c r="K67" s="19">
        <f t="shared" si="4"/>
        <v>517.87547279863475</v>
      </c>
      <c r="L67" s="19">
        <f t="shared" si="4"/>
        <v>510.62873719223438</v>
      </c>
      <c r="M67" s="19">
        <f t="shared" si="4"/>
        <v>517.67076275325621</v>
      </c>
      <c r="N67" s="19">
        <f t="shared" si="4"/>
        <v>444.58927655311686</v>
      </c>
      <c r="O67" s="19">
        <f t="shared" si="4"/>
        <v>392.18350493621023</v>
      </c>
      <c r="P67" s="20">
        <f t="shared" si="4"/>
        <v>304.73137355049721</v>
      </c>
      <c r="S67" s="82" t="s">
        <v>171</v>
      </c>
      <c r="T67" s="18">
        <f t="shared" ref="T67" si="7">T66+T29-T48</f>
        <v>324.08820772857416</v>
      </c>
      <c r="U67" s="19">
        <f t="shared" si="5"/>
        <v>364.02618706340684</v>
      </c>
      <c r="V67" s="19">
        <f t="shared" si="5"/>
        <v>309.58001537061335</v>
      </c>
      <c r="W67" s="19">
        <f t="shared" si="5"/>
        <v>303.08099239985404</v>
      </c>
      <c r="X67" s="19">
        <f t="shared" si="5"/>
        <v>300.49216997166764</v>
      </c>
      <c r="Y67" s="19">
        <f t="shared" si="5"/>
        <v>310.14632027677914</v>
      </c>
      <c r="Z67" s="19">
        <f t="shared" si="5"/>
        <v>351.43264462629213</v>
      </c>
      <c r="AA67" s="19">
        <f t="shared" si="5"/>
        <v>417.9869545509153</v>
      </c>
      <c r="AB67" s="19">
        <f t="shared" si="5"/>
        <v>341.10432181384039</v>
      </c>
      <c r="AC67" s="19">
        <f t="shared" si="5"/>
        <v>336.33118046187207</v>
      </c>
      <c r="AD67" s="19">
        <f t="shared" si="5"/>
        <v>340.96948731237251</v>
      </c>
      <c r="AE67" s="19">
        <f t="shared" si="5"/>
        <v>292.83357028828323</v>
      </c>
      <c r="AF67" s="19">
        <f t="shared" si="5"/>
        <v>258.3159379124657</v>
      </c>
      <c r="AG67" s="20">
        <f t="shared" si="5"/>
        <v>200.71463888532017</v>
      </c>
    </row>
    <row r="68" spans="2:33">
      <c r="B68" s="81" t="s">
        <v>163</v>
      </c>
      <c r="C68" s="18">
        <f>C67+C30-C49</f>
        <v>467.05375021361829</v>
      </c>
      <c r="D68" s="19">
        <f t="shared" si="4"/>
        <v>524.60963339437785</v>
      </c>
      <c r="E68" s="19">
        <f t="shared" si="4"/>
        <v>446.14553606692778</v>
      </c>
      <c r="F68" s="19">
        <f t="shared" si="4"/>
        <v>436.77958883764813</v>
      </c>
      <c r="G68" s="19">
        <f t="shared" si="4"/>
        <v>433.04875508656585</v>
      </c>
      <c r="H68" s="19">
        <f t="shared" si="4"/>
        <v>446.96165594997689</v>
      </c>
      <c r="I68" s="19">
        <f t="shared" si="4"/>
        <v>506.46068170942533</v>
      </c>
      <c r="J68" s="19">
        <f t="shared" si="4"/>
        <v>602.37419939349979</v>
      </c>
      <c r="K68" s="19">
        <f t="shared" si="4"/>
        <v>491.57620955666971</v>
      </c>
      <c r="L68" s="19">
        <f t="shared" si="4"/>
        <v>484.69748482811178</v>
      </c>
      <c r="M68" s="19">
        <f t="shared" si="4"/>
        <v>491.38189529880083</v>
      </c>
      <c r="N68" s="19">
        <f t="shared" si="4"/>
        <v>422.01170523961395</v>
      </c>
      <c r="O68" s="19">
        <f t="shared" si="4"/>
        <v>372.26725522518302</v>
      </c>
      <c r="P68" s="20">
        <f t="shared" si="4"/>
        <v>289.25620426360132</v>
      </c>
      <c r="S68" s="81" t="s">
        <v>170</v>
      </c>
      <c r="T68" s="18">
        <f>T67+T30-T49</f>
        <v>347.59696902874839</v>
      </c>
      <c r="U68" s="19">
        <f t="shared" si="5"/>
        <v>390.43197577958688</v>
      </c>
      <c r="V68" s="19">
        <f t="shared" si="5"/>
        <v>332.03637913546606</v>
      </c>
      <c r="W68" s="19">
        <f t="shared" si="5"/>
        <v>325.06592901598464</v>
      </c>
      <c r="X68" s="19">
        <f t="shared" si="5"/>
        <v>322.28931818000854</v>
      </c>
      <c r="Y68" s="19">
        <f t="shared" si="5"/>
        <v>332.64376275583584</v>
      </c>
      <c r="Z68" s="19">
        <f t="shared" si="5"/>
        <v>376.92492098374515</v>
      </c>
      <c r="AA68" s="19">
        <f t="shared" si="5"/>
        <v>448.3069578919621</v>
      </c>
      <c r="AB68" s="19">
        <f t="shared" si="5"/>
        <v>365.84740066938241</v>
      </c>
      <c r="AC68" s="19">
        <f t="shared" si="5"/>
        <v>360.72802444055179</v>
      </c>
      <c r="AD68" s="19">
        <f t="shared" si="5"/>
        <v>365.70278552167548</v>
      </c>
      <c r="AE68" s="19">
        <f t="shared" si="5"/>
        <v>314.0751777902463</v>
      </c>
      <c r="AF68" s="19">
        <f t="shared" si="5"/>
        <v>277.05369997723261</v>
      </c>
      <c r="AG68" s="20">
        <f t="shared" si="5"/>
        <v>215.27410887676606</v>
      </c>
    </row>
    <row r="69" spans="2:33" ht="16.5" thickBot="1">
      <c r="B69" s="82" t="s">
        <v>164</v>
      </c>
      <c r="C69" s="18">
        <f t="shared" si="6"/>
        <v>438.51526745191961</v>
      </c>
      <c r="D69" s="19">
        <f t="shared" si="4"/>
        <v>492.55430149221684</v>
      </c>
      <c r="E69" s="19">
        <f t="shared" si="4"/>
        <v>418.88461227725384</v>
      </c>
      <c r="F69" s="19">
        <f t="shared" si="4"/>
        <v>410.09095447596297</v>
      </c>
      <c r="G69" s="19">
        <f t="shared" si="4"/>
        <v>406.58808663810447</v>
      </c>
      <c r="H69" s="19">
        <f t="shared" si="4"/>
        <v>419.65086461678527</v>
      </c>
      <c r="I69" s="19">
        <f t="shared" si="4"/>
        <v>475.51430898930079</v>
      </c>
      <c r="J69" s="19">
        <f t="shared" si="4"/>
        <v>565.56720298758125</v>
      </c>
      <c r="K69" s="19">
        <f t="shared" si="4"/>
        <v>461.5393258445107</v>
      </c>
      <c r="L69" s="19">
        <f t="shared" si="4"/>
        <v>455.08091326845908</v>
      </c>
      <c r="M69" s="19">
        <f t="shared" si="4"/>
        <v>461.35688481128892</v>
      </c>
      <c r="N69" s="19">
        <f t="shared" si="4"/>
        <v>396.22543595110619</v>
      </c>
      <c r="O69" s="19">
        <f t="shared" si="4"/>
        <v>349.52053144632532</v>
      </c>
      <c r="P69" s="20">
        <f t="shared" si="4"/>
        <v>271.58172205397216</v>
      </c>
      <c r="S69" s="82" t="s">
        <v>169</v>
      </c>
      <c r="T69" s="18">
        <f t="shared" ref="T69:T77" si="8">T68+T31-T50</f>
        <v>355.49660393854202</v>
      </c>
      <c r="U69" s="19">
        <f t="shared" si="5"/>
        <v>399.30509706826257</v>
      </c>
      <c r="V69" s="19">
        <f t="shared" si="5"/>
        <v>339.58237753490283</v>
      </c>
      <c r="W69" s="19">
        <f t="shared" si="5"/>
        <v>332.45351403438792</v>
      </c>
      <c r="X69" s="19">
        <f t="shared" si="5"/>
        <v>329.61380077277192</v>
      </c>
      <c r="Y69" s="19">
        <f t="shared" si="5"/>
        <v>340.20356481088129</v>
      </c>
      <c r="Z69" s="19">
        <f t="shared" si="5"/>
        <v>385.49107526436012</v>
      </c>
      <c r="AA69" s="19">
        <f t="shared" si="5"/>
        <v>458.49537036506922</v>
      </c>
      <c r="AB69" s="19">
        <f t="shared" si="5"/>
        <v>374.16180256437161</v>
      </c>
      <c r="AC69" s="19">
        <f t="shared" si="5"/>
        <v>368.92608123826739</v>
      </c>
      <c r="AD69" s="19">
        <f t="shared" si="5"/>
        <v>374.0139008319959</v>
      </c>
      <c r="AE69" s="19">
        <f t="shared" si="5"/>
        <v>321.21298237382501</v>
      </c>
      <c r="AF69" s="19">
        <f t="shared" si="5"/>
        <v>283.35013888561281</v>
      </c>
      <c r="AG69" s="20">
        <f t="shared" si="5"/>
        <v>220.16651881465873</v>
      </c>
    </row>
    <row r="70" spans="2:33">
      <c r="B70" s="81" t="s">
        <v>165</v>
      </c>
      <c r="C70" s="18">
        <f t="shared" si="6"/>
        <v>415.74611057597735</v>
      </c>
      <c r="D70" s="19">
        <f t="shared" si="4"/>
        <v>466.97925999876162</v>
      </c>
      <c r="E70" s="19">
        <f t="shared" si="4"/>
        <v>397.13474366884833</v>
      </c>
      <c r="F70" s="19">
        <f t="shared" si="4"/>
        <v>388.79768154130539</v>
      </c>
      <c r="G70" s="19">
        <f t="shared" si="4"/>
        <v>385.47669413780289</v>
      </c>
      <c r="H70" s="19">
        <f t="shared" si="4"/>
        <v>397.86120966336443</v>
      </c>
      <c r="I70" s="19">
        <f t="shared" si="4"/>
        <v>450.82404002547321</v>
      </c>
      <c r="J70" s="19">
        <f t="shared" si="4"/>
        <v>536.20109119051813</v>
      </c>
      <c r="K70" s="19">
        <f t="shared" si="4"/>
        <v>437.57468403024933</v>
      </c>
      <c r="L70" s="19">
        <f t="shared" si="4"/>
        <v>431.45161350504156</v>
      </c>
      <c r="M70" s="19">
        <f t="shared" si="4"/>
        <v>437.40171593631686</v>
      </c>
      <c r="N70" s="19">
        <f t="shared" si="4"/>
        <v>375.65210640244112</v>
      </c>
      <c r="O70" s="19">
        <f t="shared" si="4"/>
        <v>331.37227435574027</v>
      </c>
      <c r="P70" s="20">
        <f t="shared" si="4"/>
        <v>257.48030462780821</v>
      </c>
      <c r="S70" s="81" t="s">
        <v>168</v>
      </c>
      <c r="T70" s="18">
        <f t="shared" si="8"/>
        <v>397.83557883979307</v>
      </c>
      <c r="U70" s="19">
        <f t="shared" si="5"/>
        <v>446.86158085857613</v>
      </c>
      <c r="V70" s="19">
        <f t="shared" si="5"/>
        <v>380.02599809292929</v>
      </c>
      <c r="W70" s="19">
        <f t="shared" si="5"/>
        <v>372.04810039777294</v>
      </c>
      <c r="X70" s="19">
        <f t="shared" si="5"/>
        <v>368.87018264368561</v>
      </c>
      <c r="Y70" s="19">
        <f t="shared" si="5"/>
        <v>380.72116760163584</v>
      </c>
      <c r="Z70" s="19">
        <f t="shared" si="5"/>
        <v>431.40233511733931</v>
      </c>
      <c r="AA70" s="19">
        <f t="shared" si="5"/>
        <v>513.1013040453314</v>
      </c>
      <c r="AB70" s="19">
        <f t="shared" si="5"/>
        <v>418.72376741092882</v>
      </c>
      <c r="AC70" s="19">
        <f t="shared" si="5"/>
        <v>412.86448155183064</v>
      </c>
      <c r="AD70" s="19">
        <f t="shared" si="5"/>
        <v>418.5582508612369</v>
      </c>
      <c r="AE70" s="19">
        <f t="shared" si="5"/>
        <v>359.46884262117777</v>
      </c>
      <c r="AF70" s="19">
        <f t="shared" si="5"/>
        <v>317.09660590001488</v>
      </c>
      <c r="AG70" s="20">
        <f t="shared" si="5"/>
        <v>246.38793587157434</v>
      </c>
    </row>
    <row r="71" spans="2:33" ht="16.5" thickBot="1">
      <c r="B71" s="82" t="s">
        <v>166</v>
      </c>
      <c r="C71" s="18">
        <f t="shared" si="6"/>
        <v>406.94840018176853</v>
      </c>
      <c r="D71" s="19">
        <f t="shared" si="4"/>
        <v>457.0973917501824</v>
      </c>
      <c r="E71" s="19">
        <f t="shared" si="4"/>
        <v>388.73087319742905</v>
      </c>
      <c r="F71" s="19">
        <f t="shared" si="4"/>
        <v>380.57023378622858</v>
      </c>
      <c r="G71" s="19">
        <f t="shared" si="4"/>
        <v>377.31952265147663</v>
      </c>
      <c r="H71" s="19">
        <f t="shared" si="4"/>
        <v>389.44196625815596</v>
      </c>
      <c r="I71" s="19">
        <f t="shared" si="4"/>
        <v>441.28403654258682</v>
      </c>
      <c r="J71" s="19">
        <f t="shared" si="4"/>
        <v>524.8544019651697</v>
      </c>
      <c r="K71" s="19">
        <f t="shared" si="4"/>
        <v>428.31505357789894</v>
      </c>
      <c r="L71" s="19">
        <f t="shared" si="4"/>
        <v>422.32155492319998</v>
      </c>
      <c r="M71" s="19">
        <f t="shared" si="4"/>
        <v>428.14574570629725</v>
      </c>
      <c r="N71" s="19">
        <f t="shared" si="4"/>
        <v>367.70283554450191</v>
      </c>
      <c r="O71" s="19">
        <f t="shared" si="4"/>
        <v>324.36002041447495</v>
      </c>
      <c r="P71" s="20">
        <f t="shared" si="4"/>
        <v>252.03169766624254</v>
      </c>
      <c r="S71" s="82" t="s">
        <v>167</v>
      </c>
      <c r="T71" s="18">
        <f t="shared" si="8"/>
        <v>470.19029040153254</v>
      </c>
      <c r="U71" s="19">
        <f t="shared" si="5"/>
        <v>528.1326951348218</v>
      </c>
      <c r="V71" s="19">
        <f t="shared" si="5"/>
        <v>449.14166531948689</v>
      </c>
      <c r="W71" s="19">
        <f t="shared" si="5"/>
        <v>439.71282025485317</v>
      </c>
      <c r="X71" s="19">
        <f t="shared" si="5"/>
        <v>435.95693176437652</v>
      </c>
      <c r="Y71" s="19">
        <f t="shared" si="5"/>
        <v>449.9632659267786</v>
      </c>
      <c r="Z71" s="19">
        <f t="shared" si="5"/>
        <v>509.86186258219118</v>
      </c>
      <c r="AA71" s="19">
        <f t="shared" si="5"/>
        <v>606.41949585819225</v>
      </c>
      <c r="AB71" s="19">
        <f t="shared" si="5"/>
        <v>494.87743245872736</v>
      </c>
      <c r="AC71" s="19">
        <f t="shared" si="5"/>
        <v>487.95251305441138</v>
      </c>
      <c r="AD71" s="19">
        <f t="shared" si="5"/>
        <v>494.68181326651518</v>
      </c>
      <c r="AE71" s="19">
        <f t="shared" si="5"/>
        <v>424.84576164671688</v>
      </c>
      <c r="AF71" s="19">
        <f t="shared" si="5"/>
        <v>374.76724844036289</v>
      </c>
      <c r="AG71" s="20">
        <f t="shared" si="5"/>
        <v>291.19872952725973</v>
      </c>
    </row>
    <row r="72" spans="2:33">
      <c r="B72" s="81" t="s">
        <v>167</v>
      </c>
      <c r="C72" s="18">
        <f t="shared" si="6"/>
        <v>330.33264099269661</v>
      </c>
      <c r="D72" s="19">
        <f t="shared" si="4"/>
        <v>371.04013319690551</v>
      </c>
      <c r="E72" s="19">
        <f t="shared" si="4"/>
        <v>315.54490918590091</v>
      </c>
      <c r="F72" s="19">
        <f t="shared" si="4"/>
        <v>308.92066501222462</v>
      </c>
      <c r="G72" s="19">
        <f t="shared" si="4"/>
        <v>306.28196193889312</v>
      </c>
      <c r="H72" s="19">
        <f t="shared" si="4"/>
        <v>316.12212548319212</v>
      </c>
      <c r="I72" s="19">
        <f t="shared" si="4"/>
        <v>358.20394220476146</v>
      </c>
      <c r="J72" s="19">
        <f t="shared" si="4"/>
        <v>426.0406003816604</v>
      </c>
      <c r="K72" s="19">
        <f t="shared" si="4"/>
        <v>347.67661640178227</v>
      </c>
      <c r="L72" s="19">
        <f t="shared" si="4"/>
        <v>342.81150761032723</v>
      </c>
      <c r="M72" s="19">
        <f t="shared" si="4"/>
        <v>347.53918395004621</v>
      </c>
      <c r="N72" s="19">
        <f t="shared" si="4"/>
        <v>298.47579868028731</v>
      </c>
      <c r="O72" s="19">
        <f t="shared" si="4"/>
        <v>263.29309103586621</v>
      </c>
      <c r="P72" s="20">
        <f t="shared" si="4"/>
        <v>204.58194765423872</v>
      </c>
      <c r="S72" s="81" t="s">
        <v>166</v>
      </c>
      <c r="T72" s="18">
        <f t="shared" si="8"/>
        <v>481.00204310144477</v>
      </c>
      <c r="U72" s="19">
        <f t="shared" si="5"/>
        <v>540.27679978585479</v>
      </c>
      <c r="V72" s="19">
        <f t="shared" si="5"/>
        <v>459.46941710805339</v>
      </c>
      <c r="W72" s="19">
        <f t="shared" si="5"/>
        <v>449.8237612262555</v>
      </c>
      <c r="X72" s="19">
        <f t="shared" si="5"/>
        <v>445.98150826089193</v>
      </c>
      <c r="Y72" s="19">
        <f t="shared" si="5"/>
        <v>460.3099099442266</v>
      </c>
      <c r="Z72" s="19">
        <f t="shared" si="5"/>
        <v>521.585840048097</v>
      </c>
      <c r="AA72" s="19">
        <f t="shared" si="5"/>
        <v>620.36376003265048</v>
      </c>
      <c r="AB72" s="19">
        <f t="shared" si="5"/>
        <v>506.25685165503199</v>
      </c>
      <c r="AC72" s="19">
        <f t="shared" si="5"/>
        <v>499.17269775014319</v>
      </c>
      <c r="AD72" s="19">
        <f t="shared" si="5"/>
        <v>506.05673431308611</v>
      </c>
      <c r="AE72" s="19">
        <f t="shared" si="5"/>
        <v>434.61484323835833</v>
      </c>
      <c r="AF72" s="19">
        <f t="shared" si="5"/>
        <v>383.38480370017811</v>
      </c>
      <c r="AG72" s="20">
        <f t="shared" si="5"/>
        <v>297.89467522083987</v>
      </c>
    </row>
    <row r="73" spans="2:33" ht="16.5" thickBot="1">
      <c r="B73" s="82" t="s">
        <v>168</v>
      </c>
      <c r="C73" s="18">
        <f t="shared" si="6"/>
        <v>296.28426181206379</v>
      </c>
      <c r="D73" s="19">
        <f t="shared" si="4"/>
        <v>332.79591031794371</v>
      </c>
      <c r="E73" s="19">
        <f t="shared" si="4"/>
        <v>283.0207460145192</v>
      </c>
      <c r="F73" s="19">
        <f t="shared" si="4"/>
        <v>277.07928261822121</v>
      </c>
      <c r="G73" s="19">
        <f t="shared" si="4"/>
        <v>274.71255860973753</v>
      </c>
      <c r="H73" s="19">
        <f t="shared" si="4"/>
        <v>283.53846689137498</v>
      </c>
      <c r="I73" s="19">
        <f t="shared" si="4"/>
        <v>321.28278415167381</v>
      </c>
      <c r="J73" s="19">
        <f t="shared" si="4"/>
        <v>382.12731386977748</v>
      </c>
      <c r="K73" s="19">
        <f t="shared" si="4"/>
        <v>311.84054149282696</v>
      </c>
      <c r="L73" s="19">
        <f t="shared" si="4"/>
        <v>307.47689410218504</v>
      </c>
      <c r="M73" s="19">
        <f t="shared" si="4"/>
        <v>311.7172746173851</v>
      </c>
      <c r="N73" s="19">
        <f t="shared" si="4"/>
        <v>267.71100008463975</v>
      </c>
      <c r="O73" s="19">
        <f t="shared" si="4"/>
        <v>236.15467997152257</v>
      </c>
      <c r="P73" s="20">
        <f t="shared" si="4"/>
        <v>183.4950707827584</v>
      </c>
      <c r="S73" s="82" t="s">
        <v>165</v>
      </c>
      <c r="T73" s="18">
        <f t="shared" si="8"/>
        <v>503.34402345081008</v>
      </c>
      <c r="U73" s="19">
        <f t="shared" si="5"/>
        <v>565.37202301235516</v>
      </c>
      <c r="V73" s="19">
        <f t="shared" si="5"/>
        <v>480.81123225289559</v>
      </c>
      <c r="W73" s="19">
        <f t="shared" si="5"/>
        <v>470.71754697650647</v>
      </c>
      <c r="X73" s="19">
        <f t="shared" si="5"/>
        <v>466.69682587055888</v>
      </c>
      <c r="Y73" s="19">
        <f t="shared" si="5"/>
        <v>481.69076499482156</v>
      </c>
      <c r="Z73" s="19">
        <f t="shared" si="5"/>
        <v>545.81289013238131</v>
      </c>
      <c r="AA73" s="19">
        <f t="shared" si="5"/>
        <v>649.17892856444951</v>
      </c>
      <c r="AB73" s="19">
        <f t="shared" si="5"/>
        <v>529.77188822011112</v>
      </c>
      <c r="AC73" s="19">
        <f t="shared" si="5"/>
        <v>522.35868368102047</v>
      </c>
      <c r="AD73" s="19">
        <f t="shared" si="5"/>
        <v>529.56247566250988</v>
      </c>
      <c r="AE73" s="19">
        <f t="shared" si="5"/>
        <v>454.80219259879749</v>
      </c>
      <c r="AF73" s="19">
        <f t="shared" si="5"/>
        <v>401.19257785282997</v>
      </c>
      <c r="AG73" s="20">
        <f t="shared" si="5"/>
        <v>311.73153324549673</v>
      </c>
    </row>
    <row r="74" spans="2:33">
      <c r="B74" s="81" t="s">
        <v>169</v>
      </c>
      <c r="C74" s="18">
        <f t="shared" si="6"/>
        <v>289.54223378756882</v>
      </c>
      <c r="D74" s="19">
        <f t="shared" si="4"/>
        <v>325.22304991665754</v>
      </c>
      <c r="E74" s="19">
        <f t="shared" si="4"/>
        <v>276.58053285748792</v>
      </c>
      <c r="F74" s="19">
        <f t="shared" si="4"/>
        <v>270.7742690579534</v>
      </c>
      <c r="G74" s="19">
        <f t="shared" si="4"/>
        <v>268.4614004905041</v>
      </c>
      <c r="H74" s="19">
        <f t="shared" si="4"/>
        <v>277.08647285661743</v>
      </c>
      <c r="I74" s="19">
        <f t="shared" si="4"/>
        <v>313.97190803125289</v>
      </c>
      <c r="J74" s="19">
        <f t="shared" si="4"/>
        <v>373.43190411943033</v>
      </c>
      <c r="K74" s="19">
        <f t="shared" si="4"/>
        <v>304.74452614236628</v>
      </c>
      <c r="L74" s="19">
        <f t="shared" si="4"/>
        <v>300.4801747211315</v>
      </c>
      <c r="M74" s="19">
        <f t="shared" si="4"/>
        <v>304.62406423781158</v>
      </c>
      <c r="N74" s="19">
        <f t="shared" si="4"/>
        <v>261.61916431179975</v>
      </c>
      <c r="O74" s="19">
        <f t="shared" si="4"/>
        <v>230.78091674580804</v>
      </c>
      <c r="P74" s="20">
        <f t="shared" si="4"/>
        <v>179.31959112005944</v>
      </c>
      <c r="S74" s="81" t="s">
        <v>164</v>
      </c>
      <c r="T74" s="18">
        <f t="shared" si="8"/>
        <v>543.37123577753664</v>
      </c>
      <c r="U74" s="19">
        <f t="shared" si="5"/>
        <v>610.33186152113217</v>
      </c>
      <c r="V74" s="19">
        <f t="shared" si="5"/>
        <v>519.04657902530539</v>
      </c>
      <c r="W74" s="19">
        <f t="shared" si="5"/>
        <v>508.1502179151052</v>
      </c>
      <c r="X74" s="19">
        <f t="shared" si="5"/>
        <v>503.80975871768106</v>
      </c>
      <c r="Y74" s="19">
        <f t="shared" si="5"/>
        <v>519.99605447474198</v>
      </c>
      <c r="Z74" s="19">
        <f t="shared" si="5"/>
        <v>589.21733605032955</v>
      </c>
      <c r="AA74" s="19">
        <f t="shared" si="5"/>
        <v>700.80330791744188</v>
      </c>
      <c r="AB74" s="19">
        <f t="shared" si="5"/>
        <v>571.90071237727238</v>
      </c>
      <c r="AC74" s="19">
        <f t="shared" si="5"/>
        <v>563.89799073202175</v>
      </c>
      <c r="AD74" s="19">
        <f t="shared" si="5"/>
        <v>571.67464679407351</v>
      </c>
      <c r="AE74" s="19">
        <f t="shared" si="5"/>
        <v>490.96923359196808</v>
      </c>
      <c r="AF74" s="19">
        <f t="shared" si="5"/>
        <v>433.09644429297924</v>
      </c>
      <c r="AG74" s="20">
        <f t="shared" si="5"/>
        <v>336.52122715029168</v>
      </c>
    </row>
    <row r="75" spans="2:33" ht="16.5" thickBot="1">
      <c r="B75" s="82" t="s">
        <v>170</v>
      </c>
      <c r="C75" s="18">
        <f t="shared" si="6"/>
        <v>275.51202960054349</v>
      </c>
      <c r="D75" s="19">
        <f t="shared" si="4"/>
        <v>309.46387814758992</v>
      </c>
      <c r="E75" s="19">
        <f t="shared" si="4"/>
        <v>263.17840737345972</v>
      </c>
      <c r="F75" s="19">
        <f t="shared" si="4"/>
        <v>257.65349481448709</v>
      </c>
      <c r="G75" s="19">
        <f t="shared" si="4"/>
        <v>255.45269977024921</v>
      </c>
      <c r="H75" s="19">
        <f t="shared" si="4"/>
        <v>263.65983128938672</v>
      </c>
      <c r="I75" s="19">
        <f t="shared" si="4"/>
        <v>298.75792725530727</v>
      </c>
      <c r="J75" s="19">
        <f t="shared" si="4"/>
        <v>355.33669985092536</v>
      </c>
      <c r="K75" s="19">
        <f t="shared" si="4"/>
        <v>289.97767202673276</v>
      </c>
      <c r="L75" s="19">
        <f t="shared" si="4"/>
        <v>285.91995616391898</v>
      </c>
      <c r="M75" s="19">
        <f t="shared" si="4"/>
        <v>289.86304728484532</v>
      </c>
      <c r="N75" s="19">
        <f t="shared" si="4"/>
        <v>248.94201443104521</v>
      </c>
      <c r="O75" s="19">
        <f t="shared" si="4"/>
        <v>219.59808050787194</v>
      </c>
      <c r="P75" s="20">
        <f t="shared" si="4"/>
        <v>170.63039077357666</v>
      </c>
      <c r="S75" s="82" t="s">
        <v>163</v>
      </c>
      <c r="T75" s="18">
        <f t="shared" si="8"/>
        <v>575.33062199344806</v>
      </c>
      <c r="U75" s="19">
        <f t="shared" si="5"/>
        <v>646.22966103258079</v>
      </c>
      <c r="V75" s="19">
        <f t="shared" si="5"/>
        <v>549.57526547551879</v>
      </c>
      <c r="W75" s="19">
        <f t="shared" si="5"/>
        <v>538.0380146933237</v>
      </c>
      <c r="X75" s="19">
        <f t="shared" si="5"/>
        <v>533.44226334439952</v>
      </c>
      <c r="Y75" s="19">
        <f t="shared" si="5"/>
        <v>550.58058608309602</v>
      </c>
      <c r="Z75" s="19">
        <f t="shared" si="5"/>
        <v>623.87324561646017</v>
      </c>
      <c r="AA75" s="19">
        <f t="shared" si="5"/>
        <v>742.02235321171941</v>
      </c>
      <c r="AB75" s="19">
        <f t="shared" si="5"/>
        <v>605.53811263064767</v>
      </c>
      <c r="AC75" s="19">
        <f t="shared" si="5"/>
        <v>597.06469608106897</v>
      </c>
      <c r="AD75" s="19">
        <f t="shared" si="5"/>
        <v>605.29875058122491</v>
      </c>
      <c r="AE75" s="19">
        <f t="shared" si="5"/>
        <v>519.84649893716551</v>
      </c>
      <c r="AF75" s="19">
        <f t="shared" si="5"/>
        <v>458.56981428484283</v>
      </c>
      <c r="AG75" s="20">
        <f t="shared" si="5"/>
        <v>356.3143467712793</v>
      </c>
    </row>
    <row r="76" spans="2:33">
      <c r="B76" s="81" t="s">
        <v>171</v>
      </c>
      <c r="C76" s="18">
        <f t="shared" si="6"/>
        <v>218.29374706326621</v>
      </c>
      <c r="D76" s="19">
        <f t="shared" si="4"/>
        <v>245.19448257672076</v>
      </c>
      <c r="E76" s="19">
        <f t="shared" si="4"/>
        <v>208.52156900368578</v>
      </c>
      <c r="F76" s="19">
        <f t="shared" si="4"/>
        <v>204.14406916658731</v>
      </c>
      <c r="G76" s="19">
        <f t="shared" si="4"/>
        <v>202.40033479164373</v>
      </c>
      <c r="H76" s="19">
        <f t="shared" si="4"/>
        <v>208.90301089820463</v>
      </c>
      <c r="I76" s="19">
        <f t="shared" si="4"/>
        <v>236.71194139860921</v>
      </c>
      <c r="J76" s="19">
        <f t="shared" si="4"/>
        <v>281.54044595445356</v>
      </c>
      <c r="K76" s="19">
        <f t="shared" si="4"/>
        <v>229.75516779857332</v>
      </c>
      <c r="L76" s="19">
        <f t="shared" si="4"/>
        <v>226.54015754477086</v>
      </c>
      <c r="M76" s="19">
        <f t="shared" si="4"/>
        <v>229.66434829987833</v>
      </c>
      <c r="N76" s="19">
        <f t="shared" si="4"/>
        <v>197.24178726576861</v>
      </c>
      <c r="O76" s="19">
        <f t="shared" si="4"/>
        <v>173.99199559985237</v>
      </c>
      <c r="P76" s="20">
        <f t="shared" si="4"/>
        <v>135.19390575735474</v>
      </c>
      <c r="S76" s="81" t="s">
        <v>162</v>
      </c>
      <c r="T76" s="18">
        <f t="shared" si="8"/>
        <v>622.53664979701932</v>
      </c>
      <c r="U76" s="19">
        <f t="shared" si="5"/>
        <v>699.25297350723611</v>
      </c>
      <c r="V76" s="19">
        <f t="shared" si="5"/>
        <v>594.66805954982374</v>
      </c>
      <c r="W76" s="19">
        <f t="shared" si="5"/>
        <v>582.18417432756701</v>
      </c>
      <c r="X76" s="19">
        <f t="shared" si="5"/>
        <v>577.21134038011212</v>
      </c>
      <c r="Y76" s="19">
        <f t="shared" si="5"/>
        <v>595.75586697582958</v>
      </c>
      <c r="Z76" s="19">
        <f t="shared" si="5"/>
        <v>675.06220836701266</v>
      </c>
      <c r="AA76" s="19">
        <f t="shared" si="5"/>
        <v>802.90548109950055</v>
      </c>
      <c r="AB76" s="19">
        <f t="shared" si="5"/>
        <v>655.22267293081177</v>
      </c>
      <c r="AC76" s="19">
        <f t="shared" si="5"/>
        <v>646.05401034019201</v>
      </c>
      <c r="AD76" s="19">
        <f t="shared" si="5"/>
        <v>654.96367116271551</v>
      </c>
      <c r="AE76" s="19">
        <f t="shared" si="5"/>
        <v>562.5000399522246</v>
      </c>
      <c r="AF76" s="19">
        <f t="shared" si="5"/>
        <v>496.19558731949149</v>
      </c>
      <c r="AG76" s="20">
        <f t="shared" si="5"/>
        <v>385.55003198861834</v>
      </c>
    </row>
    <row r="77" spans="2:33" ht="16.5" thickBot="1">
      <c r="B77" s="82" t="s">
        <v>172</v>
      </c>
      <c r="C77" s="18">
        <f t="shared" si="6"/>
        <v>190.8248474844961</v>
      </c>
      <c r="D77" s="19">
        <f t="shared" si="4"/>
        <v>214.34054053862644</v>
      </c>
      <c r="E77" s="19">
        <f t="shared" si="4"/>
        <v>182.28234723930896</v>
      </c>
      <c r="F77" s="19">
        <f t="shared" si="4"/>
        <v>178.45568820754281</v>
      </c>
      <c r="G77" s="19">
        <f t="shared" si="4"/>
        <v>176.93137589613406</v>
      </c>
      <c r="H77" s="19">
        <f t="shared" si="4"/>
        <v>182.61579055742956</v>
      </c>
      <c r="I77" s="19">
        <f t="shared" si="4"/>
        <v>206.9253962737522</v>
      </c>
      <c r="J77" s="19">
        <f t="shared" si="4"/>
        <v>246.11292527955456</v>
      </c>
      <c r="K77" s="19">
        <f t="shared" si="4"/>
        <v>200.84402528136059</v>
      </c>
      <c r="L77" s="19">
        <f t="shared" si="4"/>
        <v>198.0335744572005</v>
      </c>
      <c r="M77" s="19">
        <f t="shared" si="4"/>
        <v>200.76463401514135</v>
      </c>
      <c r="N77" s="19">
        <f t="shared" si="4"/>
        <v>172.42195197488292</v>
      </c>
      <c r="O77" s="19">
        <f t="shared" si="4"/>
        <v>152.09778782276479</v>
      </c>
      <c r="P77" s="20">
        <f t="shared" si="4"/>
        <v>118.18183889391774</v>
      </c>
      <c r="S77" s="82" t="s">
        <v>161</v>
      </c>
      <c r="T77" s="18">
        <f t="shared" si="8"/>
        <v>563.19952217709056</v>
      </c>
      <c r="U77" s="19">
        <f t="shared" si="5"/>
        <v>632.60362372013185</v>
      </c>
      <c r="V77" s="19">
        <f t="shared" si="5"/>
        <v>537.98722870635697</v>
      </c>
      <c r="W77" s="19">
        <f t="shared" si="5"/>
        <v>526.69324594344482</v>
      </c>
      <c r="X77" s="19">
        <f t="shared" si="5"/>
        <v>522.19439803788657</v>
      </c>
      <c r="Y77" s="19">
        <f t="shared" si="5"/>
        <v>538.97135168569798</v>
      </c>
      <c r="Z77" s="19">
        <f t="shared" si="5"/>
        <v>610.71860317955111</v>
      </c>
      <c r="AA77" s="19">
        <f t="shared" si="5"/>
        <v>726.37648475161427</v>
      </c>
      <c r="AB77" s="19">
        <f t="shared" si="5"/>
        <v>592.7700745563335</v>
      </c>
      <c r="AC77" s="19">
        <f t="shared" si="5"/>
        <v>584.47532373046056</v>
      </c>
      <c r="AD77" s="19">
        <f t="shared" si="5"/>
        <v>592.53575956125269</v>
      </c>
      <c r="AE77" s="19">
        <f t="shared" si="5"/>
        <v>508.88530631727639</v>
      </c>
      <c r="AF77" s="19">
        <f t="shared" si="5"/>
        <v>448.90066757649782</v>
      </c>
      <c r="AG77" s="20">
        <f t="shared" si="5"/>
        <v>348.80130167782369</v>
      </c>
    </row>
    <row r="78" spans="2:33">
      <c r="B78" s="81" t="s">
        <v>173</v>
      </c>
      <c r="C78" s="18">
        <f t="shared" si="6"/>
        <v>190.8248474844961</v>
      </c>
      <c r="D78" s="19">
        <f t="shared" si="4"/>
        <v>214.34054053862644</v>
      </c>
      <c r="E78" s="19">
        <f t="shared" si="4"/>
        <v>182.28234723930896</v>
      </c>
      <c r="F78" s="19">
        <f t="shared" si="4"/>
        <v>178.45568820754281</v>
      </c>
      <c r="G78" s="19">
        <f t="shared" si="4"/>
        <v>176.93137589613406</v>
      </c>
      <c r="H78" s="19">
        <f t="shared" si="4"/>
        <v>182.61579055742956</v>
      </c>
      <c r="I78" s="19">
        <f t="shared" si="4"/>
        <v>206.9253962737522</v>
      </c>
      <c r="J78" s="19">
        <f t="shared" si="4"/>
        <v>246.11292527955456</v>
      </c>
      <c r="K78" s="19">
        <f t="shared" si="4"/>
        <v>200.84402528136059</v>
      </c>
      <c r="L78" s="19">
        <f t="shared" si="4"/>
        <v>198.0335744572005</v>
      </c>
      <c r="M78" s="19">
        <f t="shared" si="4"/>
        <v>200.76463401514135</v>
      </c>
      <c r="N78" s="19">
        <f t="shared" si="4"/>
        <v>172.42195197488292</v>
      </c>
      <c r="O78" s="19">
        <f t="shared" si="4"/>
        <v>152.09778782276479</v>
      </c>
      <c r="P78" s="20">
        <f t="shared" si="4"/>
        <v>118.18183889391774</v>
      </c>
      <c r="S78" s="81" t="s">
        <v>160</v>
      </c>
      <c r="T78" s="18">
        <f>T77+T40-T59</f>
        <v>348.86859644253184</v>
      </c>
      <c r="U78" s="19">
        <f t="shared" si="5"/>
        <v>391.86030815258255</v>
      </c>
      <c r="V78" s="19">
        <f t="shared" si="5"/>
        <v>333.25108064239174</v>
      </c>
      <c r="W78" s="19">
        <f t="shared" si="5"/>
        <v>326.2551302560837</v>
      </c>
      <c r="X78" s="19">
        <f t="shared" si="5"/>
        <v>323.4683616374715</v>
      </c>
      <c r="Y78" s="19">
        <f t="shared" si="5"/>
        <v>333.86068627771328</v>
      </c>
      <c r="Z78" s="19">
        <f t="shared" si="5"/>
        <v>378.30383997662477</v>
      </c>
      <c r="AA78" s="19">
        <f t="shared" si="5"/>
        <v>449.94701654678317</v>
      </c>
      <c r="AB78" s="19">
        <f t="shared" si="5"/>
        <v>367.18579434195226</v>
      </c>
      <c r="AC78" s="19">
        <f t="shared" si="5"/>
        <v>362.04768970138616</v>
      </c>
      <c r="AD78" s="19">
        <f t="shared" si="5"/>
        <v>367.04065014306661</v>
      </c>
      <c r="AE78" s="19">
        <f t="shared" si="5"/>
        <v>315.22417114074347</v>
      </c>
      <c r="AF78" s="19">
        <f t="shared" si="5"/>
        <v>278.06725622591216</v>
      </c>
      <c r="AG78" s="20">
        <f t="shared" si="5"/>
        <v>216.0616544617877</v>
      </c>
    </row>
    <row r="79" spans="2:33" ht="16.5" thickBot="1">
      <c r="B79" s="82" t="s">
        <v>174</v>
      </c>
      <c r="C79" s="21">
        <f>C78+C41-C60</f>
        <v>2.8286701990225538E-3</v>
      </c>
      <c r="D79" s="22">
        <f t="shared" si="4"/>
        <v>3.1772523728363922E-3</v>
      </c>
      <c r="E79" s="22">
        <f t="shared" si="4"/>
        <v>2.7020414282787897E-3</v>
      </c>
      <c r="F79" s="22">
        <f t="shared" si="4"/>
        <v>2.6453173876461733E-3</v>
      </c>
      <c r="G79" s="22">
        <f t="shared" si="4"/>
        <v>2.6227219193515339E-3</v>
      </c>
      <c r="H79" s="22">
        <f t="shared" si="4"/>
        <v>2.7069841868865296E-3</v>
      </c>
      <c r="I79" s="22">
        <f t="shared" si="4"/>
        <v>3.067334833986024E-3</v>
      </c>
      <c r="J79" s="22">
        <f t="shared" si="4"/>
        <v>3.648226666825849E-3</v>
      </c>
      <c r="K79" s="22">
        <f t="shared" si="4"/>
        <v>2.9771883298508328E-3</v>
      </c>
      <c r="L79" s="22">
        <f t="shared" si="4"/>
        <v>2.9355279349658758E-3</v>
      </c>
      <c r="M79" s="22">
        <f t="shared" si="4"/>
        <v>2.976011482502372E-3</v>
      </c>
      <c r="N79" s="22">
        <f t="shared" si="4"/>
        <v>2.5558769921190105E-3</v>
      </c>
      <c r="O79" s="22">
        <f t="shared" si="4"/>
        <v>2.2546040801785239E-3</v>
      </c>
      <c r="P79" s="23">
        <f t="shared" si="4"/>
        <v>1.7518549085053792E-3</v>
      </c>
      <c r="S79" s="82" t="s">
        <v>159</v>
      </c>
      <c r="T79" s="21">
        <f>T78+T41-T60</f>
        <v>5.0967030612696362E-3</v>
      </c>
      <c r="U79" s="22">
        <f t="shared" si="5"/>
        <v>5.7247790501264717E-3</v>
      </c>
      <c r="V79" s="22">
        <f t="shared" si="5"/>
        <v>4.8685431138437707E-3</v>
      </c>
      <c r="W79" s="22">
        <f t="shared" si="5"/>
        <v>4.7663376355444598E-3</v>
      </c>
      <c r="X79" s="22">
        <f t="shared" si="5"/>
        <v>4.7256250800842281E-3</v>
      </c>
      <c r="Y79" s="22">
        <f t="shared" si="5"/>
        <v>4.8774489854963576E-3</v>
      </c>
      <c r="Z79" s="22">
        <f t="shared" si="5"/>
        <v>5.5267294305849646E-3</v>
      </c>
      <c r="AA79" s="22">
        <f t="shared" si="5"/>
        <v>6.5733813818269482E-3</v>
      </c>
      <c r="AB79" s="22">
        <f t="shared" si="5"/>
        <v>5.3643032966874671E-3</v>
      </c>
      <c r="AC79" s="22">
        <f t="shared" si="5"/>
        <v>5.2892395225399014E-3</v>
      </c>
      <c r="AD79" s="22">
        <f t="shared" si="5"/>
        <v>5.3621828515133529E-3</v>
      </c>
      <c r="AE79" s="22">
        <f t="shared" si="5"/>
        <v>4.6051837697405062E-3</v>
      </c>
      <c r="AF79" s="22">
        <f t="shared" si="5"/>
        <v>4.0623496941520898E-3</v>
      </c>
      <c r="AG79" s="23">
        <f t="shared" si="5"/>
        <v>3.1564953307565702E-3</v>
      </c>
    </row>
    <row r="81" spans="2:33">
      <c r="B81" s="27" t="s">
        <v>43</v>
      </c>
      <c r="C81" s="11">
        <f>MAX(C64:C79)</f>
        <v>504.77233807870527</v>
      </c>
      <c r="D81" s="11">
        <f>MAX(D64:D79)</f>
        <v>566.97635144986202</v>
      </c>
      <c r="E81" s="11">
        <f t="shared" ref="E81:P81" si="9">MAX(E64:E79)</f>
        <v>482.17560668526681</v>
      </c>
      <c r="F81" s="11">
        <f t="shared" si="9"/>
        <v>472.05327905363356</v>
      </c>
      <c r="G81" s="11">
        <f t="shared" si="9"/>
        <v>468.02114854476724</v>
      </c>
      <c r="H81" s="11">
        <f t="shared" si="9"/>
        <v>483.0576352340812</v>
      </c>
      <c r="I81" s="11">
        <f t="shared" si="9"/>
        <v>547.36171657860609</v>
      </c>
      <c r="J81" s="11">
        <f t="shared" si="9"/>
        <v>651.02107174404478</v>
      </c>
      <c r="K81" s="11">
        <f t="shared" si="9"/>
        <v>531.27519590260795</v>
      </c>
      <c r="L81" s="11">
        <f t="shared" si="9"/>
        <v>523.84095527688567</v>
      </c>
      <c r="M81" s="11">
        <f t="shared" si="9"/>
        <v>531.0651891052712</v>
      </c>
      <c r="N81" s="11">
        <f t="shared" si="9"/>
        <v>456.09276245603763</v>
      </c>
      <c r="O81" s="11">
        <f t="shared" si="9"/>
        <v>402.33102233781977</v>
      </c>
      <c r="P81" s="11">
        <f t="shared" si="9"/>
        <v>312.61611851554363</v>
      </c>
      <c r="S81" s="27" t="s">
        <v>43</v>
      </c>
      <c r="T81" s="11">
        <f>MAX(T64:T79)</f>
        <v>622.53664979701932</v>
      </c>
      <c r="U81" s="11">
        <f>MAX(U64:U79)</f>
        <v>699.25297350723611</v>
      </c>
      <c r="V81" s="11">
        <f>MAX(V64:V79)</f>
        <v>594.66805954982374</v>
      </c>
      <c r="W81" s="11">
        <f t="shared" ref="W81:AF81" si="10">MAX(W64:W79)</f>
        <v>582.18417432756701</v>
      </c>
      <c r="X81" s="11">
        <f t="shared" si="10"/>
        <v>577.21134038011212</v>
      </c>
      <c r="Y81" s="11">
        <f t="shared" si="10"/>
        <v>595.75586697582958</v>
      </c>
      <c r="Z81" s="11">
        <f t="shared" si="10"/>
        <v>675.06220836701266</v>
      </c>
      <c r="AA81" s="11">
        <f t="shared" si="10"/>
        <v>802.90548109950055</v>
      </c>
      <c r="AB81" s="11">
        <f t="shared" si="10"/>
        <v>655.22267293081177</v>
      </c>
      <c r="AC81" s="11">
        <f t="shared" si="10"/>
        <v>646.05401034019201</v>
      </c>
      <c r="AD81" s="11">
        <f t="shared" si="10"/>
        <v>654.96367116271551</v>
      </c>
      <c r="AE81" s="11">
        <f t="shared" si="10"/>
        <v>562.5000399522246</v>
      </c>
      <c r="AF81" s="11">
        <f t="shared" si="10"/>
        <v>496.19558731949149</v>
      </c>
      <c r="AG81" s="11">
        <f>MAX(AG64:AG79)</f>
        <v>385.55003198861834</v>
      </c>
    </row>
    <row r="82" spans="2:33">
      <c r="B82" s="27" t="s">
        <v>42</v>
      </c>
      <c r="C82" s="28">
        <f>SUM(C26:C41)/C81</f>
        <v>1.3385656183470014</v>
      </c>
      <c r="D82" s="28">
        <f>SUM(D26:D41)/D81</f>
        <v>1.3385656183470014</v>
      </c>
      <c r="E82" s="28">
        <f t="shared" ref="E82:P82" si="11">SUM(E26:E41)/E81</f>
        <v>1.3385656183470018</v>
      </c>
      <c r="F82" s="28">
        <f t="shared" si="11"/>
        <v>1.3385656183470021</v>
      </c>
      <c r="G82" s="28">
        <f t="shared" si="11"/>
        <v>1.3385656183470016</v>
      </c>
      <c r="H82" s="28">
        <f t="shared" si="11"/>
        <v>1.3385656183470014</v>
      </c>
      <c r="I82" s="28">
        <f t="shared" si="11"/>
        <v>1.3385656183470014</v>
      </c>
      <c r="J82" s="28">
        <f t="shared" si="11"/>
        <v>1.3385656183470014</v>
      </c>
      <c r="K82" s="28">
        <f t="shared" si="11"/>
        <v>1.3385656183470016</v>
      </c>
      <c r="L82" s="28">
        <f t="shared" si="11"/>
        <v>1.3385656183470016</v>
      </c>
      <c r="M82" s="28">
        <f t="shared" si="11"/>
        <v>1.3385656183470014</v>
      </c>
      <c r="N82" s="28">
        <f t="shared" si="11"/>
        <v>1.3385656183470021</v>
      </c>
      <c r="O82" s="28">
        <f t="shared" si="11"/>
        <v>1.3385656183470018</v>
      </c>
      <c r="P82" s="28">
        <f t="shared" si="11"/>
        <v>1.3385656183470016</v>
      </c>
      <c r="S82" s="27" t="s">
        <v>42</v>
      </c>
      <c r="T82" s="28">
        <f>SUM(T26:T41)/T81</f>
        <v>1.2449993848059708</v>
      </c>
      <c r="U82" s="28">
        <f>SUM(U26:U41)/U81</f>
        <v>1.2449993848059708</v>
      </c>
      <c r="V82" s="28">
        <f t="shared" ref="V82:AG82" si="12">SUM(V26:V41)/V81</f>
        <v>1.2449993848059706</v>
      </c>
      <c r="W82" s="28">
        <f t="shared" si="12"/>
        <v>1.2449993848059706</v>
      </c>
      <c r="X82" s="28">
        <f t="shared" si="12"/>
        <v>1.2449993848059704</v>
      </c>
      <c r="Y82" s="28">
        <f t="shared" si="12"/>
        <v>1.2449993848059706</v>
      </c>
      <c r="Z82" s="28">
        <f t="shared" si="12"/>
        <v>1.2449993848059706</v>
      </c>
      <c r="AA82" s="28">
        <f t="shared" si="12"/>
        <v>1.2449993848059708</v>
      </c>
      <c r="AB82" s="28">
        <f t="shared" si="12"/>
        <v>1.2449993848059706</v>
      </c>
      <c r="AC82" s="28">
        <f t="shared" si="12"/>
        <v>1.2449993848059704</v>
      </c>
      <c r="AD82" s="28">
        <f t="shared" si="12"/>
        <v>1.2449993848059704</v>
      </c>
      <c r="AE82" s="28">
        <f t="shared" si="12"/>
        <v>1.2449993848059704</v>
      </c>
      <c r="AF82" s="28">
        <f t="shared" si="12"/>
        <v>1.2449993848059704</v>
      </c>
      <c r="AG82" s="28">
        <f t="shared" si="12"/>
        <v>1.2449993848059706</v>
      </c>
    </row>
  </sheetData>
  <mergeCells count="20">
    <mergeCell ref="T62:AG62"/>
    <mergeCell ref="S62:S63"/>
    <mergeCell ref="S43:S44"/>
    <mergeCell ref="S24:S25"/>
    <mergeCell ref="B24:B25"/>
    <mergeCell ref="B43:B44"/>
    <mergeCell ref="B62:B63"/>
    <mergeCell ref="C24:P24"/>
    <mergeCell ref="T24:AG24"/>
    <mergeCell ref="C43:P43"/>
    <mergeCell ref="T43:AG43"/>
    <mergeCell ref="C62:P62"/>
    <mergeCell ref="X3:Z3"/>
    <mergeCell ref="B2:E2"/>
    <mergeCell ref="S2:V2"/>
    <mergeCell ref="B3:B4"/>
    <mergeCell ref="C3:E3"/>
    <mergeCell ref="G3:I3"/>
    <mergeCell ref="S3:S4"/>
    <mergeCell ref="T3:V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2839-F2AF-41E3-B288-7B5C24A3D80E}">
  <dimension ref="B2:AG82"/>
  <sheetViews>
    <sheetView topLeftCell="A55" zoomScale="85" zoomScaleNormal="85" workbookViewId="0">
      <selection activeCell="B26" sqref="B26"/>
    </sheetView>
  </sheetViews>
  <sheetFormatPr baseColWidth="10" defaultRowHeight="15.75"/>
  <cols>
    <col min="2" max="2" width="21.85546875" style="2" customWidth="1"/>
    <col min="3" max="4" width="11.42578125" style="2"/>
    <col min="5" max="5" width="12.7109375" style="2" bestFit="1" customWidth="1"/>
    <col min="6" max="16" width="11.42578125" style="2"/>
    <col min="19" max="19" width="21.85546875" customWidth="1"/>
  </cols>
  <sheetData>
    <row r="2" spans="2:33" ht="19.5">
      <c r="B2" s="95" t="s">
        <v>145</v>
      </c>
      <c r="C2" s="95"/>
      <c r="D2" s="95"/>
      <c r="E2" s="95"/>
      <c r="F2" s="1"/>
      <c r="G2" s="1"/>
      <c r="H2" s="1"/>
      <c r="I2" s="1"/>
      <c r="S2" s="95" t="s">
        <v>146</v>
      </c>
      <c r="T2" s="95"/>
      <c r="U2" s="95"/>
      <c r="V2" s="95"/>
      <c r="W2" s="1"/>
      <c r="X2" s="1"/>
      <c r="Y2" s="1"/>
      <c r="Z2" s="1"/>
      <c r="AA2" s="2"/>
      <c r="AB2" s="2"/>
      <c r="AC2" s="2"/>
      <c r="AD2" s="2"/>
      <c r="AE2" s="2"/>
      <c r="AF2" s="2"/>
      <c r="AG2" s="2"/>
    </row>
    <row r="3" spans="2:33">
      <c r="B3" s="96" t="s">
        <v>0</v>
      </c>
      <c r="C3" s="97" t="s">
        <v>1</v>
      </c>
      <c r="D3" s="97"/>
      <c r="E3" s="97"/>
      <c r="F3" s="3"/>
      <c r="G3" s="98"/>
      <c r="H3" s="98"/>
      <c r="I3" s="98"/>
      <c r="S3" s="96" t="s">
        <v>0</v>
      </c>
      <c r="T3" s="97" t="s">
        <v>1</v>
      </c>
      <c r="U3" s="97"/>
      <c r="V3" s="97"/>
      <c r="W3" s="2"/>
      <c r="X3" s="89"/>
      <c r="Y3" s="89"/>
      <c r="Z3" s="89"/>
      <c r="AA3" s="2"/>
      <c r="AB3" s="2"/>
      <c r="AC3" s="2"/>
      <c r="AD3" s="2"/>
      <c r="AE3" s="2"/>
      <c r="AF3" s="2"/>
      <c r="AG3" s="2"/>
    </row>
    <row r="4" spans="2:33" ht="63">
      <c r="B4" s="96"/>
      <c r="C4" s="4" t="s">
        <v>2</v>
      </c>
      <c r="D4" s="4" t="s">
        <v>3</v>
      </c>
      <c r="E4" s="4" t="s">
        <v>4</v>
      </c>
      <c r="F4" s="5" t="s">
        <v>5</v>
      </c>
      <c r="G4" s="6" t="s">
        <v>6</v>
      </c>
      <c r="I4" s="6"/>
      <c r="S4" s="96"/>
      <c r="T4" s="4" t="s">
        <v>2</v>
      </c>
      <c r="U4" s="4" t="s">
        <v>3</v>
      </c>
      <c r="V4" s="4" t="s">
        <v>4</v>
      </c>
      <c r="W4" s="5" t="s">
        <v>5</v>
      </c>
      <c r="X4" s="6" t="s">
        <v>6</v>
      </c>
      <c r="Y4" s="7"/>
      <c r="Z4" s="7"/>
      <c r="AA4" s="2"/>
      <c r="AB4" s="2"/>
      <c r="AC4" s="2"/>
      <c r="AD4" s="2"/>
      <c r="AE4" s="2"/>
      <c r="AF4" s="2"/>
      <c r="AG4" s="2"/>
    </row>
    <row r="5" spans="2:33">
      <c r="B5" s="80">
        <v>1</v>
      </c>
      <c r="C5" s="8">
        <v>3902.2790479490695</v>
      </c>
      <c r="D5" s="8">
        <v>0</v>
      </c>
      <c r="E5" s="8">
        <v>3902.2790479490695</v>
      </c>
      <c r="F5" s="2">
        <v>0</v>
      </c>
      <c r="G5" s="9">
        <v>0</v>
      </c>
      <c r="I5" s="9"/>
      <c r="S5" s="80">
        <v>16</v>
      </c>
      <c r="T5" s="8">
        <v>3372.4111887751815</v>
      </c>
      <c r="U5" s="8">
        <v>0</v>
      </c>
      <c r="V5" s="8">
        <v>3372.4111887751815</v>
      </c>
      <c r="W5" s="2">
        <v>0</v>
      </c>
      <c r="X5" s="9">
        <v>0</v>
      </c>
      <c r="Y5" s="9"/>
      <c r="Z5" s="9"/>
      <c r="AA5" s="2"/>
      <c r="AB5" s="2"/>
      <c r="AC5" s="2"/>
      <c r="AD5" s="2"/>
      <c r="AE5" s="2"/>
      <c r="AF5" s="2"/>
      <c r="AG5" s="2"/>
    </row>
    <row r="6" spans="2:33">
      <c r="B6" s="80">
        <v>2</v>
      </c>
      <c r="C6" s="8">
        <v>2531.4205374199505</v>
      </c>
      <c r="D6" s="8">
        <v>31.788148225017711</v>
      </c>
      <c r="E6" s="8">
        <v>6401.9114371440028</v>
      </c>
      <c r="F6" s="2">
        <v>3.3137302474101275E-3</v>
      </c>
      <c r="G6" s="9">
        <v>32.860273770942051</v>
      </c>
      <c r="I6" s="9"/>
      <c r="S6" s="80">
        <v>15</v>
      </c>
      <c r="T6" s="8">
        <v>0</v>
      </c>
      <c r="U6" s="8">
        <v>0</v>
      </c>
      <c r="V6" s="8">
        <v>3372.4111887751815</v>
      </c>
      <c r="W6" s="2">
        <v>0</v>
      </c>
      <c r="X6" s="9">
        <v>0</v>
      </c>
      <c r="Y6" s="9"/>
      <c r="Z6" s="9"/>
      <c r="AA6" s="2"/>
      <c r="AB6" s="2"/>
      <c r="AC6" s="2"/>
      <c r="AD6" s="2"/>
      <c r="AE6" s="2"/>
      <c r="AF6" s="2"/>
      <c r="AG6" s="2"/>
    </row>
    <row r="7" spans="2:33">
      <c r="B7" s="80">
        <v>3</v>
      </c>
      <c r="C7" s="8">
        <v>1623.7170554493309</v>
      </c>
      <c r="D7" s="8">
        <v>766.23633643809239</v>
      </c>
      <c r="E7" s="8">
        <v>7259.3921561552415</v>
      </c>
      <c r="F7" s="2">
        <v>7.987569790936494E-2</v>
      </c>
      <c r="G7" s="9">
        <v>792.07935015174507</v>
      </c>
      <c r="I7" s="9"/>
      <c r="S7" s="80">
        <v>14</v>
      </c>
      <c r="T7" s="8">
        <v>1082.582188806811</v>
      </c>
      <c r="U7" s="8">
        <v>52.618732366011201</v>
      </c>
      <c r="V7" s="8">
        <v>4402.3746452159812</v>
      </c>
      <c r="W7" s="2">
        <v>4.7336461653145956E-3</v>
      </c>
      <c r="X7" s="9">
        <v>51.773760200878847</v>
      </c>
      <c r="Y7" s="9"/>
      <c r="Z7" s="9"/>
      <c r="AA7" s="2"/>
      <c r="AB7" s="2"/>
      <c r="AC7" s="2"/>
      <c r="AD7" s="2"/>
      <c r="AE7" s="2"/>
      <c r="AF7" s="2"/>
      <c r="AG7" s="2"/>
    </row>
    <row r="8" spans="2:33">
      <c r="B8" s="80">
        <v>4</v>
      </c>
      <c r="C8" s="8">
        <v>411.6718810744012</v>
      </c>
      <c r="D8" s="8">
        <v>562.59839378475579</v>
      </c>
      <c r="E8" s="8">
        <v>7108.4656434448871</v>
      </c>
      <c r="F8" s="2">
        <v>5.8647622423053568E-2</v>
      </c>
      <c r="G8" s="9">
        <v>581.57326787314105</v>
      </c>
      <c r="I8" s="9"/>
      <c r="S8" s="80">
        <v>13</v>
      </c>
      <c r="T8" s="8">
        <v>783.34990166639159</v>
      </c>
      <c r="U8" s="8">
        <v>113.46845726239658</v>
      </c>
      <c r="V8" s="8">
        <v>5072.2560896199766</v>
      </c>
      <c r="W8" s="2">
        <v>1.0207762586680182E-2</v>
      </c>
      <c r="X8" s="9">
        <v>111.64633643781423</v>
      </c>
      <c r="Y8" s="9"/>
      <c r="Z8" s="9"/>
      <c r="AA8" s="2"/>
      <c r="AB8" s="2"/>
      <c r="AC8" s="2"/>
      <c r="AD8" s="2"/>
      <c r="AE8" s="2"/>
      <c r="AF8" s="2"/>
      <c r="AG8" s="2"/>
    </row>
    <row r="9" spans="2:33">
      <c r="B9" s="80">
        <v>5</v>
      </c>
      <c r="C9" s="8">
        <v>114.08129336718896</v>
      </c>
      <c r="D9" s="8">
        <v>441.17427641709253</v>
      </c>
      <c r="E9" s="8">
        <v>6781.3726603949835</v>
      </c>
      <c r="F9" s="2">
        <v>4.5989861812461126E-2</v>
      </c>
      <c r="G9" s="9">
        <v>456.05385381818184</v>
      </c>
      <c r="I9" s="9"/>
      <c r="S9" s="80">
        <v>12</v>
      </c>
      <c r="T9" s="8">
        <v>350.89091064961934</v>
      </c>
      <c r="U9" s="8">
        <v>34.769586970343894</v>
      </c>
      <c r="V9" s="8">
        <v>5388.3774132992521</v>
      </c>
      <c r="W9" s="2">
        <v>3.1279149958780609E-3</v>
      </c>
      <c r="X9" s="9">
        <v>34.21124335653866</v>
      </c>
      <c r="Y9" s="9"/>
      <c r="Z9" s="9"/>
      <c r="AA9" s="2"/>
      <c r="AB9" s="2"/>
      <c r="AC9" s="2"/>
      <c r="AD9" s="2"/>
      <c r="AE9" s="2"/>
      <c r="AF9" s="2"/>
      <c r="AG9" s="2"/>
    </row>
    <row r="10" spans="2:33">
      <c r="B10" s="80">
        <v>6</v>
      </c>
      <c r="C10" s="8">
        <v>184.26995272232301</v>
      </c>
      <c r="D10" s="8">
        <v>707.83429941534951</v>
      </c>
      <c r="E10" s="8">
        <v>6257.8083137019566</v>
      </c>
      <c r="F10" s="2">
        <v>7.378762397619007E-2</v>
      </c>
      <c r="G10" s="9">
        <v>731.7075753706755</v>
      </c>
      <c r="I10" s="9"/>
      <c r="S10" s="80">
        <v>11</v>
      </c>
      <c r="T10" s="8">
        <v>156.7100661198738</v>
      </c>
      <c r="U10" s="8">
        <v>74.315049735633707</v>
      </c>
      <c r="V10" s="8">
        <v>5470.7724296834922</v>
      </c>
      <c r="W10" s="2">
        <v>6.6854736780674936E-3</v>
      </c>
      <c r="X10" s="9">
        <v>73.121669628331873</v>
      </c>
      <c r="Y10" s="9"/>
      <c r="Z10" s="9"/>
      <c r="AA10" s="2"/>
      <c r="AB10" s="2"/>
      <c r="AC10" s="2"/>
      <c r="AD10" s="2"/>
      <c r="AE10" s="2"/>
      <c r="AF10" s="2"/>
      <c r="AG10" s="2"/>
    </row>
    <row r="11" spans="2:33">
      <c r="B11" s="80">
        <v>7</v>
      </c>
      <c r="C11" s="8">
        <v>66.139920000000004</v>
      </c>
      <c r="D11" s="8">
        <v>395.62413498382904</v>
      </c>
      <c r="E11" s="8">
        <v>5928.3240987181271</v>
      </c>
      <c r="F11" s="2">
        <v>4.1241523520694198E-2</v>
      </c>
      <c r="G11" s="9">
        <v>408.96743320610682</v>
      </c>
      <c r="I11" s="9"/>
      <c r="S11" s="80">
        <v>10</v>
      </c>
      <c r="T11" s="8">
        <v>527.70916890943613</v>
      </c>
      <c r="U11" s="8">
        <v>76.069410366363087</v>
      </c>
      <c r="V11" s="8">
        <v>5922.4121882265654</v>
      </c>
      <c r="W11" s="2">
        <v>6.8432981276278799E-3</v>
      </c>
      <c r="X11" s="9">
        <v>74.847858050535606</v>
      </c>
      <c r="Y11" s="9"/>
      <c r="Z11" s="9"/>
      <c r="AA11" s="2"/>
      <c r="AB11" s="2"/>
      <c r="AC11" s="2"/>
      <c r="AD11" s="2"/>
      <c r="AE11" s="2"/>
      <c r="AF11" s="2"/>
      <c r="AG11" s="2"/>
    </row>
    <row r="12" spans="2:33">
      <c r="B12" s="80">
        <v>8</v>
      </c>
      <c r="C12" s="8">
        <v>141.81787512388502</v>
      </c>
      <c r="D12" s="8">
        <v>251.82658125449493</v>
      </c>
      <c r="E12" s="8">
        <v>5818.3153925875167</v>
      </c>
      <c r="F12" s="2">
        <v>2.6251461818343751E-2</v>
      </c>
      <c r="G12" s="9">
        <v>260.31998920624375</v>
      </c>
      <c r="I12" s="9"/>
      <c r="S12" s="80">
        <v>9</v>
      </c>
      <c r="T12" s="8">
        <v>793.77382842667828</v>
      </c>
      <c r="U12" s="8">
        <v>43.675161697024805</v>
      </c>
      <c r="V12" s="8">
        <v>6672.5108549562183</v>
      </c>
      <c r="W12" s="2">
        <v>3.9290714996426026E-3</v>
      </c>
      <c r="X12" s="9">
        <v>42.973808884400249</v>
      </c>
      <c r="Y12" s="9"/>
      <c r="Z12" s="9"/>
      <c r="AA12" s="2"/>
      <c r="AB12" s="2"/>
      <c r="AC12" s="2"/>
      <c r="AD12" s="2"/>
      <c r="AE12" s="2"/>
      <c r="AF12" s="2"/>
      <c r="AG12" s="2"/>
    </row>
    <row r="13" spans="2:33">
      <c r="B13" s="80">
        <v>9</v>
      </c>
      <c r="C13" s="8">
        <v>59.168924858669804</v>
      </c>
      <c r="D13" s="8">
        <v>836.95404766699767</v>
      </c>
      <c r="E13" s="8">
        <v>5040.5302697791885</v>
      </c>
      <c r="F13" s="2">
        <v>8.7247609512017196E-2</v>
      </c>
      <c r="G13" s="9">
        <v>865.18217246737095</v>
      </c>
      <c r="I13" s="9"/>
      <c r="S13" s="80">
        <v>8</v>
      </c>
      <c r="T13" s="8">
        <v>280.12780574826564</v>
      </c>
      <c r="U13" s="8">
        <v>140.02028676144698</v>
      </c>
      <c r="V13" s="8">
        <v>6812.6183739430371</v>
      </c>
      <c r="W13" s="2">
        <v>1.2596397968771858E-2</v>
      </c>
      <c r="X13" s="9">
        <v>137.77178628362671</v>
      </c>
      <c r="Y13" s="9"/>
      <c r="Z13" s="9"/>
      <c r="AA13" s="2"/>
      <c r="AB13" s="2"/>
      <c r="AC13" s="2"/>
      <c r="AD13" s="2"/>
      <c r="AE13" s="2"/>
      <c r="AF13" s="2"/>
      <c r="AG13" s="2"/>
    </row>
    <row r="14" spans="2:33">
      <c r="B14" s="80">
        <v>10</v>
      </c>
      <c r="C14" s="8">
        <v>95.511376372492364</v>
      </c>
      <c r="D14" s="8">
        <v>436.32580277651033</v>
      </c>
      <c r="E14" s="8">
        <v>4699.7158433751702</v>
      </c>
      <c r="F14" s="2">
        <v>4.5484436531226177E-2</v>
      </c>
      <c r="G14" s="9">
        <v>451.04185468967211</v>
      </c>
      <c r="I14" s="9"/>
      <c r="S14" s="80">
        <v>7</v>
      </c>
      <c r="T14" s="8">
        <v>379.26836639999999</v>
      </c>
      <c r="U14" s="8">
        <v>39.290483928434071</v>
      </c>
      <c r="V14" s="8">
        <v>7152.596256414603</v>
      </c>
      <c r="W14" s="2">
        <v>3.5346204710420622E-3</v>
      </c>
      <c r="X14" s="9">
        <v>38.659541984732826</v>
      </c>
      <c r="Y14" s="9"/>
      <c r="Z14" s="9"/>
      <c r="AA14" s="2"/>
      <c r="AB14" s="2"/>
      <c r="AC14" s="2"/>
      <c r="AD14" s="2"/>
      <c r="AE14" s="2"/>
      <c r="AF14" s="2"/>
      <c r="AG14" s="2"/>
    </row>
    <row r="15" spans="2:33">
      <c r="B15" s="80">
        <v>11</v>
      </c>
      <c r="C15" s="8">
        <v>52.176930788643531</v>
      </c>
      <c r="D15" s="8">
        <v>114.61733648191208</v>
      </c>
      <c r="E15" s="8">
        <v>4637.2754376819012</v>
      </c>
      <c r="F15" s="2">
        <v>1.1948193146991177E-2</v>
      </c>
      <c r="G15" s="9">
        <v>118.48305944187211</v>
      </c>
      <c r="I15" s="9"/>
      <c r="S15" s="80">
        <v>6</v>
      </c>
      <c r="T15" s="8">
        <v>921.96661040532365</v>
      </c>
      <c r="U15" s="8">
        <v>172.03328121444488</v>
      </c>
      <c r="V15" s="8">
        <v>7902.5295856054818</v>
      </c>
      <c r="W15" s="2">
        <v>1.5476326496479157E-2</v>
      </c>
      <c r="X15" s="9">
        <v>169.27070356260299</v>
      </c>
      <c r="Y15" s="9"/>
      <c r="Z15" s="9"/>
      <c r="AA15" s="2"/>
      <c r="AB15" s="2"/>
      <c r="AC15" s="2"/>
      <c r="AD15" s="2"/>
      <c r="AE15" s="2"/>
      <c r="AF15" s="2"/>
      <c r="AG15" s="2"/>
    </row>
    <row r="16" spans="2:33">
      <c r="B16" s="80">
        <v>12</v>
      </c>
      <c r="C16" s="8">
        <v>174.14760002956174</v>
      </c>
      <c r="D16" s="8">
        <v>359.97182990277429</v>
      </c>
      <c r="E16" s="8">
        <v>4451.4512078086882</v>
      </c>
      <c r="F16" s="2">
        <v>3.7524977312947329E-2</v>
      </c>
      <c r="G16" s="9">
        <v>372.1126753499513</v>
      </c>
      <c r="I16" s="9"/>
      <c r="S16" s="80">
        <v>5</v>
      </c>
      <c r="T16" s="8">
        <v>681.50036972812291</v>
      </c>
      <c r="U16" s="8">
        <v>231.79684947451884</v>
      </c>
      <c r="V16" s="8">
        <v>8352.2331058590862</v>
      </c>
      <c r="W16" s="2">
        <v>2.0852730925076786E-2</v>
      </c>
      <c r="X16" s="9">
        <v>228.07456509090912</v>
      </c>
      <c r="Y16" s="9"/>
      <c r="Z16" s="9"/>
      <c r="AA16" s="2"/>
      <c r="AB16" s="2"/>
      <c r="AC16" s="2"/>
      <c r="AD16" s="2"/>
      <c r="AE16" s="2"/>
      <c r="AF16" s="2"/>
      <c r="AG16" s="2"/>
    </row>
    <row r="17" spans="2:33">
      <c r="B17" s="80">
        <v>13</v>
      </c>
      <c r="C17" s="8">
        <v>173.01424682395643</v>
      </c>
      <c r="D17" s="8">
        <v>977.77474580729267</v>
      </c>
      <c r="E17" s="8">
        <v>3646.690708825352</v>
      </c>
      <c r="F17" s="2">
        <v>0.10192735126940757</v>
      </c>
      <c r="G17" s="9">
        <v>1010.7523598450507</v>
      </c>
      <c r="I17" s="9"/>
      <c r="S17" s="80">
        <v>4</v>
      </c>
      <c r="T17" s="8">
        <v>1151.3388234652709</v>
      </c>
      <c r="U17" s="8">
        <v>496.45722818915146</v>
      </c>
      <c r="V17" s="8">
        <v>9007.1147011352041</v>
      </c>
      <c r="W17" s="2">
        <v>4.4661905538003699E-2</v>
      </c>
      <c r="X17" s="9">
        <v>488.48492402795199</v>
      </c>
      <c r="Y17" s="9"/>
      <c r="Z17" s="9"/>
      <c r="AA17" s="2"/>
      <c r="AB17" s="2"/>
      <c r="AC17" s="2"/>
      <c r="AD17" s="2"/>
      <c r="AE17" s="2"/>
      <c r="AF17" s="2"/>
      <c r="AG17" s="2"/>
    </row>
    <row r="18" spans="2:33">
      <c r="B18" s="80">
        <v>14</v>
      </c>
      <c r="C18" s="8">
        <v>63.442719419055962</v>
      </c>
      <c r="D18" s="8">
        <v>463.83406591312865</v>
      </c>
      <c r="E18" s="8">
        <v>3246.2993623312796</v>
      </c>
      <c r="F18" s="2">
        <v>4.83520135591258E-2</v>
      </c>
      <c r="G18" s="9">
        <v>479.47789478970492</v>
      </c>
      <c r="I18" s="9"/>
      <c r="S18" s="80">
        <v>3</v>
      </c>
      <c r="T18" s="8">
        <v>634.26970554493312</v>
      </c>
      <c r="U18" s="8">
        <v>1489.1553276824329</v>
      </c>
      <c r="V18" s="8">
        <v>8152.2290789977051</v>
      </c>
      <c r="W18" s="2">
        <v>0.13396625288136171</v>
      </c>
      <c r="X18" s="9">
        <v>1465.2418895422356</v>
      </c>
      <c r="Y18" s="9"/>
      <c r="Z18" s="9"/>
      <c r="AA18" s="2"/>
      <c r="AB18" s="2"/>
      <c r="AC18" s="2"/>
      <c r="AD18" s="2"/>
      <c r="AE18" s="2"/>
      <c r="AF18" s="2"/>
      <c r="AG18" s="2"/>
    </row>
    <row r="19" spans="2:33">
      <c r="B19" s="80">
        <v>15</v>
      </c>
      <c r="C19" s="8">
        <v>0</v>
      </c>
      <c r="D19" s="8">
        <v>0</v>
      </c>
      <c r="E19" s="8">
        <v>3246.2993623312796</v>
      </c>
      <c r="F19" s="2">
        <v>0</v>
      </c>
      <c r="G19" s="9">
        <v>0</v>
      </c>
      <c r="I19" s="9"/>
      <c r="S19" s="80">
        <v>2</v>
      </c>
      <c r="T19" s="8">
        <v>0</v>
      </c>
      <c r="U19" s="8">
        <v>3146.0543687834506</v>
      </c>
      <c r="V19" s="8">
        <v>5006.1747102142544</v>
      </c>
      <c r="W19" s="2">
        <v>0.28302293744124141</v>
      </c>
      <c r="X19" s="9">
        <v>3095.5337984070311</v>
      </c>
      <c r="Y19" s="9"/>
      <c r="Z19" s="9"/>
      <c r="AA19" s="2"/>
      <c r="AB19" s="2"/>
      <c r="AC19" s="2"/>
      <c r="AD19" s="2"/>
      <c r="AE19" s="2"/>
      <c r="AF19" s="2"/>
      <c r="AG19" s="2"/>
    </row>
    <row r="20" spans="2:33">
      <c r="B20" s="80">
        <v>16</v>
      </c>
      <c r="C20" s="8">
        <v>0</v>
      </c>
      <c r="D20" s="8">
        <v>3246.2993623312836</v>
      </c>
      <c r="E20" s="8">
        <v>-4.0927261579781771E-12</v>
      </c>
      <c r="F20" s="2">
        <v>0.33840789696076706</v>
      </c>
      <c r="G20" s="9">
        <v>3355.7879821601705</v>
      </c>
      <c r="I20" s="9"/>
      <c r="S20" s="80">
        <v>1</v>
      </c>
      <c r="T20" s="8">
        <v>0</v>
      </c>
      <c r="U20" s="8">
        <v>5006.1747102142554</v>
      </c>
      <c r="V20" s="8">
        <v>0</v>
      </c>
      <c r="W20" s="2">
        <v>0.45036166122481264</v>
      </c>
      <c r="X20" s="9">
        <v>4925.7836005520821</v>
      </c>
      <c r="Y20" s="9"/>
      <c r="Z20" s="9"/>
      <c r="AA20" s="2"/>
      <c r="AB20" s="2"/>
      <c r="AC20" s="2"/>
      <c r="AD20" s="2"/>
      <c r="AE20" s="2"/>
      <c r="AF20" s="2"/>
      <c r="AG20" s="2"/>
    </row>
    <row r="21" spans="2:33" ht="7.15" customHeight="1">
      <c r="G21" s="9"/>
      <c r="S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2:33">
      <c r="C22" s="10">
        <v>9592.8593613985304</v>
      </c>
      <c r="D22" s="10">
        <v>9592.8593613985322</v>
      </c>
      <c r="G22" s="10">
        <v>9916.3997421408276</v>
      </c>
      <c r="S22" s="2"/>
      <c r="T22" s="10">
        <v>11115.898934645908</v>
      </c>
      <c r="U22" s="10">
        <v>11115.898934645909</v>
      </c>
      <c r="V22" s="2"/>
      <c r="W22" s="2"/>
      <c r="X22" s="10">
        <v>10937.395486009671</v>
      </c>
      <c r="Y22" s="2"/>
      <c r="Z22" s="2"/>
      <c r="AA22" s="2"/>
      <c r="AB22" s="2"/>
      <c r="AC22" s="2"/>
      <c r="AD22" s="2"/>
      <c r="AE22" s="2"/>
      <c r="AF22" s="2"/>
      <c r="AG22" s="2"/>
    </row>
    <row r="23" spans="2:33" ht="16.5" thickBot="1">
      <c r="G23" s="11">
        <v>-323.5403807422972</v>
      </c>
      <c r="S23" s="2"/>
      <c r="T23" s="2"/>
      <c r="U23" s="2"/>
      <c r="V23" s="2"/>
      <c r="W23" s="2"/>
      <c r="X23" s="11">
        <v>178.5034486362365</v>
      </c>
      <c r="Y23" s="2"/>
      <c r="Z23" s="2"/>
      <c r="AA23" s="2"/>
      <c r="AB23" s="2"/>
      <c r="AC23" s="2"/>
      <c r="AD23" s="2"/>
      <c r="AE23" s="2"/>
      <c r="AF23" s="2"/>
      <c r="AG23" s="2"/>
    </row>
    <row r="24" spans="2:33" ht="24" customHeight="1" thickBot="1">
      <c r="B24" s="90" t="s">
        <v>66</v>
      </c>
      <c r="C24" s="92" t="s">
        <v>57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4"/>
      <c r="S24" s="90" t="s">
        <v>67</v>
      </c>
      <c r="T24" s="92" t="s">
        <v>57</v>
      </c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4"/>
    </row>
    <row r="25" spans="2:33" ht="22.9" customHeight="1" thickBot="1">
      <c r="B25" s="91"/>
      <c r="C25" s="12">
        <v>0.29166666666666669</v>
      </c>
      <c r="D25" s="13">
        <v>0.33333333333333331</v>
      </c>
      <c r="E25" s="13">
        <v>0.375</v>
      </c>
      <c r="F25" s="13">
        <v>0.41666666666666702</v>
      </c>
      <c r="G25" s="13">
        <v>0.45833333333333398</v>
      </c>
      <c r="H25" s="13">
        <v>0.5</v>
      </c>
      <c r="I25" s="13">
        <v>0.54166666666666696</v>
      </c>
      <c r="J25" s="13">
        <v>0.58333333333333304</v>
      </c>
      <c r="K25" s="13">
        <v>0.625</v>
      </c>
      <c r="L25" s="13">
        <v>0.66666666666666696</v>
      </c>
      <c r="M25" s="13">
        <v>0.70833333333333304</v>
      </c>
      <c r="N25" s="13">
        <v>0.75</v>
      </c>
      <c r="O25" s="13">
        <v>0.79166666666666696</v>
      </c>
      <c r="P25" s="14">
        <v>0.83333333333333304</v>
      </c>
      <c r="S25" s="91"/>
      <c r="T25" s="12">
        <v>0.29166666666666669</v>
      </c>
      <c r="U25" s="13">
        <v>0.33333333333333331</v>
      </c>
      <c r="V25" s="13">
        <v>0.375</v>
      </c>
      <c r="W25" s="13">
        <v>0.41666666666666702</v>
      </c>
      <c r="X25" s="13">
        <v>0.45833333333333398</v>
      </c>
      <c r="Y25" s="13">
        <v>0.5</v>
      </c>
      <c r="Z25" s="13">
        <v>0.54166666666666696</v>
      </c>
      <c r="AA25" s="13">
        <v>0.58333333333333304</v>
      </c>
      <c r="AB25" s="13">
        <v>0.625</v>
      </c>
      <c r="AC25" s="13">
        <v>0.66666666666666696</v>
      </c>
      <c r="AD25" s="13">
        <v>0.70833333333333304</v>
      </c>
      <c r="AE25" s="13">
        <v>0.75</v>
      </c>
      <c r="AF25" s="13">
        <v>0.79166666666666696</v>
      </c>
      <c r="AG25" s="14">
        <v>0.83333333333333304</v>
      </c>
    </row>
    <row r="26" spans="2:33">
      <c r="B26" s="81" t="s">
        <v>159</v>
      </c>
      <c r="C26" s="15">
        <v>284.12510813652773</v>
      </c>
      <c r="D26" s="16">
        <v>319.13836201822164</v>
      </c>
      <c r="E26" s="16">
        <v>271.40591125040254</v>
      </c>
      <c r="F26" s="16">
        <v>265.70827844453612</v>
      </c>
      <c r="G26" s="16">
        <v>263.43868197414946</v>
      </c>
      <c r="H26" s="16">
        <v>271.90238547829961</v>
      </c>
      <c r="I26" s="16">
        <v>308.09772085498656</v>
      </c>
      <c r="J26" s="16">
        <v>366.44526344784316</v>
      </c>
      <c r="K26" s="16">
        <v>299.04297660333992</v>
      </c>
      <c r="L26" s="16">
        <v>294.85840811106453</v>
      </c>
      <c r="M26" s="16">
        <v>298.92476845384056</v>
      </c>
      <c r="N26" s="16">
        <v>256.72445908258896</v>
      </c>
      <c r="O26" s="16">
        <v>226.46317281076711</v>
      </c>
      <c r="P26" s="17">
        <v>175.9646513446643</v>
      </c>
      <c r="S26" s="81" t="s">
        <v>174</v>
      </c>
      <c r="T26" s="15">
        <v>245.54540613777505</v>
      </c>
      <c r="U26" s="16">
        <v>275.80441316806662</v>
      </c>
      <c r="V26" s="16">
        <v>234.55327529219983</v>
      </c>
      <c r="W26" s="16">
        <v>229.62929102866147</v>
      </c>
      <c r="X26" s="16">
        <v>227.66786991123541</v>
      </c>
      <c r="Y26" s="16">
        <v>234.98233616163674</v>
      </c>
      <c r="Z26" s="16">
        <v>266.26291669058782</v>
      </c>
      <c r="AA26" s="16">
        <v>316.68778458441614</v>
      </c>
      <c r="AB26" s="16">
        <v>258.43766369085677</v>
      </c>
      <c r="AC26" s="16">
        <v>254.82129350560248</v>
      </c>
      <c r="AD26" s="16">
        <v>258.33550634099078</v>
      </c>
      <c r="AE26" s="16">
        <v>221.86533243885</v>
      </c>
      <c r="AF26" s="16">
        <v>195.71305087316915</v>
      </c>
      <c r="AG26" s="17">
        <v>152.07143101043931</v>
      </c>
    </row>
    <row r="27" spans="2:33" ht="16.5" thickBot="1">
      <c r="B27" s="82" t="s">
        <v>160</v>
      </c>
      <c r="C27" s="18">
        <v>184.312840034206</v>
      </c>
      <c r="D27" s="19">
        <v>207.02604656529761</v>
      </c>
      <c r="E27" s="19">
        <v>176.06185751312071</v>
      </c>
      <c r="F27" s="19">
        <v>172.36578541724424</v>
      </c>
      <c r="G27" s="19">
        <v>170.89349113838887</v>
      </c>
      <c r="H27" s="19">
        <v>176.38392188662033</v>
      </c>
      <c r="I27" s="19">
        <v>199.86394835461579</v>
      </c>
      <c r="J27" s="19">
        <v>237.71418044018912</v>
      </c>
      <c r="K27" s="19">
        <v>193.9901076379324</v>
      </c>
      <c r="L27" s="19">
        <v>191.27556506129284</v>
      </c>
      <c r="M27" s="19">
        <v>193.91342564424201</v>
      </c>
      <c r="N27" s="19">
        <v>166.53795389677506</v>
      </c>
      <c r="O27" s="19">
        <v>146.90736351203688</v>
      </c>
      <c r="P27" s="20">
        <v>114.14881580750502</v>
      </c>
      <c r="S27" s="82" t="s">
        <v>173</v>
      </c>
      <c r="T27" s="18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20">
        <v>0</v>
      </c>
    </row>
    <row r="28" spans="2:33">
      <c r="B28" s="81" t="s">
        <v>161</v>
      </c>
      <c r="C28" s="18">
        <v>118.22290981602983</v>
      </c>
      <c r="D28" s="19">
        <v>132.79173403283295</v>
      </c>
      <c r="E28" s="19">
        <v>112.93052127542204</v>
      </c>
      <c r="F28" s="19">
        <v>110.55976730091189</v>
      </c>
      <c r="G28" s="19">
        <v>109.61540057247629</v>
      </c>
      <c r="H28" s="19">
        <v>113.13710149726732</v>
      </c>
      <c r="I28" s="19">
        <v>128.19778338513066</v>
      </c>
      <c r="J28" s="19">
        <v>152.47587802866218</v>
      </c>
      <c r="K28" s="19">
        <v>124.43015362480952</v>
      </c>
      <c r="L28" s="19">
        <v>122.68897746925644</v>
      </c>
      <c r="M28" s="19">
        <v>124.38096785770351</v>
      </c>
      <c r="N28" s="19">
        <v>106.82164900085435</v>
      </c>
      <c r="O28" s="19">
        <v>94.230092621713212</v>
      </c>
      <c r="P28" s="20">
        <v>73.217932914021446</v>
      </c>
      <c r="S28" s="81" t="s">
        <v>172</v>
      </c>
      <c r="T28" s="18">
        <v>78.822856510754718</v>
      </c>
      <c r="U28" s="19">
        <v>88.536340492484428</v>
      </c>
      <c r="V28" s="19">
        <v>75.294258008276273</v>
      </c>
      <c r="W28" s="19">
        <v>73.713603288764546</v>
      </c>
      <c r="X28" s="19">
        <v>73.083964894270238</v>
      </c>
      <c r="Y28" s="19">
        <v>75.431991407071877</v>
      </c>
      <c r="Z28" s="19">
        <v>85.473412052600722</v>
      </c>
      <c r="AA28" s="19">
        <v>101.66036577772493</v>
      </c>
      <c r="AB28" s="19">
        <v>82.961417207899501</v>
      </c>
      <c r="AC28" s="19">
        <v>81.800521418050664</v>
      </c>
      <c r="AD28" s="19">
        <v>82.928623541519599</v>
      </c>
      <c r="AE28" s="19">
        <v>71.221284643891295</v>
      </c>
      <c r="AF28" s="19">
        <v>62.826106050634003</v>
      </c>
      <c r="AG28" s="20">
        <v>48.816651773135916</v>
      </c>
    </row>
    <row r="29" spans="2:33" ht="16.5" thickBot="1">
      <c r="B29" s="82" t="s">
        <v>162</v>
      </c>
      <c r="C29" s="18">
        <v>29.973847664355599</v>
      </c>
      <c r="D29" s="19">
        <v>33.667579432612435</v>
      </c>
      <c r="E29" s="19">
        <v>28.632032882909158</v>
      </c>
      <c r="F29" s="19">
        <v>28.030959718729619</v>
      </c>
      <c r="G29" s="19">
        <v>27.791528084865572</v>
      </c>
      <c r="H29" s="19">
        <v>28.684408552816919</v>
      </c>
      <c r="I29" s="19">
        <v>32.502844297044611</v>
      </c>
      <c r="J29" s="19">
        <v>38.658232550966204</v>
      </c>
      <c r="K29" s="19">
        <v>31.547611841107834</v>
      </c>
      <c r="L29" s="19">
        <v>31.106159766171</v>
      </c>
      <c r="M29" s="19">
        <v>31.535141443510749</v>
      </c>
      <c r="N29" s="19">
        <v>27.083209501351096</v>
      </c>
      <c r="O29" s="19">
        <v>23.890787716497112</v>
      </c>
      <c r="P29" s="20">
        <v>18.563433863022027</v>
      </c>
      <c r="S29" s="82" t="s">
        <v>171</v>
      </c>
      <c r="T29" s="18">
        <v>57.035740597966253</v>
      </c>
      <c r="U29" s="19">
        <v>64.064358656344353</v>
      </c>
      <c r="V29" s="19">
        <v>54.482468136516275</v>
      </c>
      <c r="W29" s="19">
        <v>53.338715974416935</v>
      </c>
      <c r="X29" s="19">
        <v>52.883113453414701</v>
      </c>
      <c r="Y29" s="19">
        <v>54.58213118798551</v>
      </c>
      <c r="Z29" s="19">
        <v>61.848042226052272</v>
      </c>
      <c r="AA29" s="19">
        <v>73.560823703484516</v>
      </c>
      <c r="AB29" s="19">
        <v>60.030378001637139</v>
      </c>
      <c r="AC29" s="19">
        <v>59.190360853539289</v>
      </c>
      <c r="AD29" s="19">
        <v>60.006648703668276</v>
      </c>
      <c r="AE29" s="19">
        <v>51.535289328783122</v>
      </c>
      <c r="AF29" s="19">
        <v>45.460589048753434</v>
      </c>
      <c r="AG29" s="20">
        <v>35.323432956453892</v>
      </c>
    </row>
    <row r="30" spans="2:33">
      <c r="B30" s="81" t="s">
        <v>163</v>
      </c>
      <c r="C30" s="18">
        <v>8.3062639590941298</v>
      </c>
      <c r="D30" s="19">
        <v>9.329859975354605</v>
      </c>
      <c r="E30" s="19">
        <v>7.9344242178732394</v>
      </c>
      <c r="F30" s="19">
        <v>7.7678566014527295</v>
      </c>
      <c r="G30" s="19">
        <v>7.7015060156586683</v>
      </c>
      <c r="H30" s="19">
        <v>7.9489384085156907</v>
      </c>
      <c r="I30" s="19">
        <v>9.0070920215439081</v>
      </c>
      <c r="J30" s="19">
        <v>10.712854997999584</v>
      </c>
      <c r="K30" s="19">
        <v>8.7423808303030128</v>
      </c>
      <c r="L30" s="19">
        <v>8.6200469377452134</v>
      </c>
      <c r="M30" s="19">
        <v>8.7389250706262391</v>
      </c>
      <c r="N30" s="19">
        <v>7.505218866017902</v>
      </c>
      <c r="O30" s="19">
        <v>6.6205443887637427</v>
      </c>
      <c r="P30" s="20">
        <v>5.1442438548458647</v>
      </c>
      <c r="S30" s="81" t="s">
        <v>170</v>
      </c>
      <c r="T30" s="18">
        <v>25.548382549639996</v>
      </c>
      <c r="U30" s="19">
        <v>28.696756202162607</v>
      </c>
      <c r="V30" s="19">
        <v>24.404678954057839</v>
      </c>
      <c r="W30" s="19">
        <v>23.892350763471782</v>
      </c>
      <c r="X30" s="19">
        <v>23.688269824483143</v>
      </c>
      <c r="Y30" s="19">
        <v>24.449321659461603</v>
      </c>
      <c r="Z30" s="19">
        <v>27.703987467707474</v>
      </c>
      <c r="AA30" s="19">
        <v>32.950568274207015</v>
      </c>
      <c r="AB30" s="19">
        <v>26.889789554867388</v>
      </c>
      <c r="AC30" s="19">
        <v>26.513515323607091</v>
      </c>
      <c r="AD30" s="19">
        <v>26.879160339295062</v>
      </c>
      <c r="AE30" s="19">
        <v>23.084530379975096</v>
      </c>
      <c r="AF30" s="19">
        <v>20.363451193459934</v>
      </c>
      <c r="AG30" s="20">
        <v>15.822650300962762</v>
      </c>
    </row>
    <row r="31" spans="2:33" ht="16.5" thickBot="1">
      <c r="B31" s="82" t="s">
        <v>164</v>
      </c>
      <c r="C31" s="18">
        <v>13.416703316247874</v>
      </c>
      <c r="D31" s="19">
        <v>15.070068070064073</v>
      </c>
      <c r="E31" s="19">
        <v>12.816088706151238</v>
      </c>
      <c r="F31" s="19">
        <v>12.547040154044753</v>
      </c>
      <c r="G31" s="19">
        <v>12.439867286815613</v>
      </c>
      <c r="H31" s="19">
        <v>12.839532770857613</v>
      </c>
      <c r="I31" s="19">
        <v>14.548716726355657</v>
      </c>
      <c r="J31" s="19">
        <v>17.303952521371446</v>
      </c>
      <c r="K31" s="19">
        <v>14.121141641472736</v>
      </c>
      <c r="L31" s="19">
        <v>13.923541667519011</v>
      </c>
      <c r="M31" s="19">
        <v>14.115559721304551</v>
      </c>
      <c r="N31" s="19">
        <v>12.122814221262745</v>
      </c>
      <c r="O31" s="19">
        <v>10.693842658207553</v>
      </c>
      <c r="P31" s="20">
        <v>8.3092463623592039</v>
      </c>
      <c r="S31" s="82" t="s">
        <v>169</v>
      </c>
      <c r="T31" s="18">
        <v>11.41006676746831</v>
      </c>
      <c r="U31" s="19">
        <v>12.816150049430412</v>
      </c>
      <c r="V31" s="19">
        <v>10.89928161845034</v>
      </c>
      <c r="W31" s="19">
        <v>10.670472657644892</v>
      </c>
      <c r="X31" s="19">
        <v>10.579328839232764</v>
      </c>
      <c r="Y31" s="19">
        <v>10.919219328727992</v>
      </c>
      <c r="Z31" s="19">
        <v>12.372773349446414</v>
      </c>
      <c r="AA31" s="19">
        <v>14.715929014458212</v>
      </c>
      <c r="AB31" s="19">
        <v>12.009147490573026</v>
      </c>
      <c r="AC31" s="19">
        <v>11.841101075375667</v>
      </c>
      <c r="AD31" s="19">
        <v>12.004400416697395</v>
      </c>
      <c r="AE31" s="19">
        <v>10.309695043096886</v>
      </c>
      <c r="AF31" s="19">
        <v>9.0944441309351749</v>
      </c>
      <c r="AG31" s="20">
        <v>7.0664941712653215</v>
      </c>
    </row>
    <row r="32" spans="2:33">
      <c r="B32" s="81" t="s">
        <v>165</v>
      </c>
      <c r="C32" s="18">
        <v>4.8156504676460434</v>
      </c>
      <c r="D32" s="19">
        <v>5.4090918341449434</v>
      </c>
      <c r="E32" s="19">
        <v>4.6000721724560307</v>
      </c>
      <c r="F32" s="19">
        <v>4.5035027130865268</v>
      </c>
      <c r="G32" s="19">
        <v>4.4650352105990896</v>
      </c>
      <c r="H32" s="19">
        <v>4.6084869386251572</v>
      </c>
      <c r="I32" s="19">
        <v>5.2219634626695983</v>
      </c>
      <c r="J32" s="19">
        <v>6.2108988391174629</v>
      </c>
      <c r="K32" s="19">
        <v>5.0684941558707592</v>
      </c>
      <c r="L32" s="19">
        <v>4.9975696981595483</v>
      </c>
      <c r="M32" s="19">
        <v>5.0664906401162062</v>
      </c>
      <c r="N32" s="19">
        <v>4.351235515740421</v>
      </c>
      <c r="O32" s="19">
        <v>3.8383354825745921</v>
      </c>
      <c r="P32" s="20">
        <v>2.9824335522291148</v>
      </c>
      <c r="S32" s="81" t="s">
        <v>168</v>
      </c>
      <c r="T32" s="18">
        <v>38.422527666193588</v>
      </c>
      <c r="U32" s="19">
        <v>43.157405638704212</v>
      </c>
      <c r="V32" s="19">
        <v>36.702497720744084</v>
      </c>
      <c r="W32" s="19">
        <v>35.932001035143095</v>
      </c>
      <c r="X32" s="19">
        <v>35.625081193575902</v>
      </c>
      <c r="Y32" s="19">
        <v>36.769636436086905</v>
      </c>
      <c r="Z32" s="19">
        <v>41.664368492747116</v>
      </c>
      <c r="AA32" s="19">
        <v>49.554766086370499</v>
      </c>
      <c r="AB32" s="19">
        <v>40.439886208161312</v>
      </c>
      <c r="AC32" s="19">
        <v>39.874002750271799</v>
      </c>
      <c r="AD32" s="19">
        <v>40.423900799746363</v>
      </c>
      <c r="AE32" s="19">
        <v>34.717109995606272</v>
      </c>
      <c r="AF32" s="19">
        <v>30.624845441376969</v>
      </c>
      <c r="AG32" s="20">
        <v>23.795878966506816</v>
      </c>
    </row>
    <row r="33" spans="2:33" ht="16.5" thickBot="1">
      <c r="B33" s="82" t="s">
        <v>166</v>
      </c>
      <c r="C33" s="18">
        <v>10.325765689781679</v>
      </c>
      <c r="D33" s="19">
        <v>11.598228577663743</v>
      </c>
      <c r="E33" s="19">
        <v>9.8635205623809004</v>
      </c>
      <c r="F33" s="19">
        <v>9.6564553659058312</v>
      </c>
      <c r="G33" s="19">
        <v>9.5739729639904496</v>
      </c>
      <c r="H33" s="19">
        <v>9.8815635877998886</v>
      </c>
      <c r="I33" s="19">
        <v>11.196986060012883</v>
      </c>
      <c r="J33" s="19">
        <v>13.317471142587452</v>
      </c>
      <c r="K33" s="19">
        <v>10.867915644037978</v>
      </c>
      <c r="L33" s="19">
        <v>10.715838715506498</v>
      </c>
      <c r="M33" s="19">
        <v>10.863619685604888</v>
      </c>
      <c r="N33" s="19">
        <v>9.3299625249907834</v>
      </c>
      <c r="O33" s="19">
        <v>8.2301971661190461</v>
      </c>
      <c r="P33" s="20">
        <v>6.3949637235018324</v>
      </c>
      <c r="S33" s="82" t="s">
        <v>167</v>
      </c>
      <c r="T33" s="18">
        <v>57.794707161244268</v>
      </c>
      <c r="U33" s="19">
        <v>64.916854049728443</v>
      </c>
      <c r="V33" s="19">
        <v>55.207458662929284</v>
      </c>
      <c r="W33" s="19">
        <v>54.048486751974067</v>
      </c>
      <c r="X33" s="19">
        <v>53.586821592423433</v>
      </c>
      <c r="Y33" s="19">
        <v>55.308447916580988</v>
      </c>
      <c r="Z33" s="19">
        <v>62.671045408997777</v>
      </c>
      <c r="AA33" s="19">
        <v>74.53968721911184</v>
      </c>
      <c r="AB33" s="19">
        <v>60.829193782873908</v>
      </c>
      <c r="AC33" s="19">
        <v>59.97799864495245</v>
      </c>
      <c r="AD33" s="19">
        <v>60.805148722480652</v>
      </c>
      <c r="AE33" s="19">
        <v>52.221062162086163</v>
      </c>
      <c r="AF33" s="19">
        <v>46.065526701411123</v>
      </c>
      <c r="AG33" s="20">
        <v>35.79347690140964</v>
      </c>
    </row>
    <row r="34" spans="2:33">
      <c r="B34" s="81" t="s">
        <v>167</v>
      </c>
      <c r="C34" s="18">
        <v>4.3080920065486445</v>
      </c>
      <c r="D34" s="19">
        <v>4.8389860206690081</v>
      </c>
      <c r="E34" s="19">
        <v>4.1152351668479312</v>
      </c>
      <c r="F34" s="19">
        <v>4.0288439059411063</v>
      </c>
      <c r="G34" s="19">
        <v>3.9944307895632831</v>
      </c>
      <c r="H34" s="19">
        <v>4.1227630360555798</v>
      </c>
      <c r="I34" s="19">
        <v>4.671580548289394</v>
      </c>
      <c r="J34" s="19">
        <v>5.5562844151692445</v>
      </c>
      <c r="K34" s="19">
        <v>4.5342865527403724</v>
      </c>
      <c r="L34" s="19">
        <v>4.4708373694187635</v>
      </c>
      <c r="M34" s="19">
        <v>4.532494202929028</v>
      </c>
      <c r="N34" s="19">
        <v>3.8926253202788925</v>
      </c>
      <c r="O34" s="19">
        <v>3.4337837685745933</v>
      </c>
      <c r="P34" s="20">
        <v>2.6680919291680447</v>
      </c>
      <c r="S34" s="81" t="s">
        <v>166</v>
      </c>
      <c r="T34" s="18">
        <v>20.396117787144213</v>
      </c>
      <c r="U34" s="19">
        <v>22.909568481332975</v>
      </c>
      <c r="V34" s="19">
        <v>19.483061424231614</v>
      </c>
      <c r="W34" s="19">
        <v>19.074052904785638</v>
      </c>
      <c r="X34" s="19">
        <v>18.911128349321679</v>
      </c>
      <c r="Y34" s="19">
        <v>19.518701170739355</v>
      </c>
      <c r="Z34" s="19">
        <v>22.117008404232266</v>
      </c>
      <c r="AA34" s="19">
        <v>26.305527184284852</v>
      </c>
      <c r="AB34" s="19">
        <v>21.467007313162515</v>
      </c>
      <c r="AC34" s="19">
        <v>21.166615164025849</v>
      </c>
      <c r="AD34" s="19">
        <v>21.458521659232105</v>
      </c>
      <c r="AE34" s="19">
        <v>18.429143206074141</v>
      </c>
      <c r="AF34" s="19">
        <v>16.256815799888038</v>
      </c>
      <c r="AG34" s="20">
        <v>12.631744440814977</v>
      </c>
    </row>
    <row r="35" spans="2:33" ht="16.5" thickBot="1">
      <c r="B35" s="82" t="s">
        <v>168</v>
      </c>
      <c r="C35" s="18">
        <v>6.9541874906064312</v>
      </c>
      <c r="D35" s="19">
        <v>7.8111646643115487</v>
      </c>
      <c r="E35" s="19">
        <v>6.6428750534333343</v>
      </c>
      <c r="F35" s="19">
        <v>6.5034209691234537</v>
      </c>
      <c r="G35" s="19">
        <v>6.4478707944605969</v>
      </c>
      <c r="H35" s="19">
        <v>6.6550266541408343</v>
      </c>
      <c r="I35" s="19">
        <v>7.540936210482859</v>
      </c>
      <c r="J35" s="19">
        <v>8.9690386174404786</v>
      </c>
      <c r="K35" s="19">
        <v>7.3193141594841684</v>
      </c>
      <c r="L35" s="19">
        <v>7.2168935249495263</v>
      </c>
      <c r="M35" s="19">
        <v>7.3164209212204785</v>
      </c>
      <c r="N35" s="19">
        <v>6.2835348610829778</v>
      </c>
      <c r="O35" s="19">
        <v>5.5428658655782153</v>
      </c>
      <c r="P35" s="20">
        <v>4.3068744793296441</v>
      </c>
      <c r="S35" s="82" t="s">
        <v>165</v>
      </c>
      <c r="T35" s="18">
        <v>27.614546343834569</v>
      </c>
      <c r="U35" s="19">
        <v>31.017537118940155</v>
      </c>
      <c r="V35" s="19">
        <v>26.378348479549075</v>
      </c>
      <c r="W35" s="19">
        <v>25.824586982722305</v>
      </c>
      <c r="X35" s="19">
        <v>25.604001490210393</v>
      </c>
      <c r="Y35" s="19">
        <v>26.426601556036054</v>
      </c>
      <c r="Z35" s="19">
        <v>29.944480608491599</v>
      </c>
      <c r="AA35" s="19">
        <v>35.615365978485251</v>
      </c>
      <c r="AB35" s="19">
        <v>29.06443640399096</v>
      </c>
      <c r="AC35" s="19">
        <v>28.657731902172134</v>
      </c>
      <c r="AD35" s="19">
        <v>29.052947576255971</v>
      </c>
      <c r="AE35" s="19">
        <v>24.95143607486267</v>
      </c>
      <c r="AF35" s="19">
        <v>22.010296174703885</v>
      </c>
      <c r="AG35" s="20">
        <v>17.102268966313918</v>
      </c>
    </row>
    <row r="36" spans="2:33">
      <c r="B36" s="81" t="s">
        <v>169</v>
      </c>
      <c r="C36" s="18">
        <v>3.7990046125345547</v>
      </c>
      <c r="D36" s="19">
        <v>4.2671628610920243</v>
      </c>
      <c r="E36" s="19">
        <v>3.6289376728155003</v>
      </c>
      <c r="F36" s="19">
        <v>3.5527552704506453</v>
      </c>
      <c r="G36" s="19">
        <v>3.5224087533260557</v>
      </c>
      <c r="H36" s="19">
        <v>3.6355759734365041</v>
      </c>
      <c r="I36" s="19">
        <v>4.1195396996630311</v>
      </c>
      <c r="J36" s="19">
        <v>4.8996980774076881</v>
      </c>
      <c r="K36" s="19">
        <v>3.9984697407180545</v>
      </c>
      <c r="L36" s="19">
        <v>3.9425183497695926</v>
      </c>
      <c r="M36" s="19">
        <v>3.9968891929511488</v>
      </c>
      <c r="N36" s="19">
        <v>3.4326336401658115</v>
      </c>
      <c r="O36" s="19">
        <v>3.0280134118379514</v>
      </c>
      <c r="P36" s="20">
        <v>2.3528034058158336</v>
      </c>
      <c r="S36" s="81" t="s">
        <v>164</v>
      </c>
      <c r="T36" s="18">
        <v>67.128429223265371</v>
      </c>
      <c r="U36" s="19">
        <v>75.400787658916556</v>
      </c>
      <c r="V36" s="19">
        <v>64.123345605182763</v>
      </c>
      <c r="W36" s="19">
        <v>62.777202200056543</v>
      </c>
      <c r="X36" s="19">
        <v>62.24097910091912</v>
      </c>
      <c r="Y36" s="19">
        <v>64.240644408119067</v>
      </c>
      <c r="Z36" s="19">
        <v>72.792285707904341</v>
      </c>
      <c r="AA36" s="19">
        <v>86.577687881562099</v>
      </c>
      <c r="AB36" s="19">
        <v>70.652978968637342</v>
      </c>
      <c r="AC36" s="19">
        <v>69.664317629602749</v>
      </c>
      <c r="AD36" s="19">
        <v>70.625050682223943</v>
      </c>
      <c r="AE36" s="19">
        <v>60.654652432637597</v>
      </c>
      <c r="AF36" s="19">
        <v>53.505011110805377</v>
      </c>
      <c r="AG36" s="20">
        <v>41.574047154997857</v>
      </c>
    </row>
    <row r="37" spans="2:33" ht="16.5" thickBot="1">
      <c r="B37" s="82" t="s">
        <v>170</v>
      </c>
      <c r="C37" s="18">
        <v>12.679694374014892</v>
      </c>
      <c r="D37" s="19">
        <v>14.24223617530596</v>
      </c>
      <c r="E37" s="19">
        <v>12.112072841878096</v>
      </c>
      <c r="F37" s="19">
        <v>11.857803716887449</v>
      </c>
      <c r="G37" s="19">
        <v>11.756518090335158</v>
      </c>
      <c r="H37" s="19">
        <v>12.134229072686407</v>
      </c>
      <c r="I37" s="19">
        <v>13.749523804473462</v>
      </c>
      <c r="J37" s="19">
        <v>16.353408453755272</v>
      </c>
      <c r="K37" s="19">
        <v>13.345436356874217</v>
      </c>
      <c r="L37" s="19">
        <v>13.158690982918433</v>
      </c>
      <c r="M37" s="19">
        <v>13.34016106382462</v>
      </c>
      <c r="N37" s="19">
        <v>11.456881445117967</v>
      </c>
      <c r="O37" s="19">
        <v>10.106406424420758</v>
      </c>
      <c r="P37" s="20">
        <v>7.852801233632289</v>
      </c>
      <c r="S37" s="82" t="s">
        <v>163</v>
      </c>
      <c r="T37" s="18">
        <v>49.620071723433995</v>
      </c>
      <c r="U37" s="19">
        <v>55.734843417759642</v>
      </c>
      <c r="V37" s="19">
        <v>47.398770459728915</v>
      </c>
      <c r="W37" s="19">
        <v>46.403726585095235</v>
      </c>
      <c r="X37" s="19">
        <v>46.007360560344893</v>
      </c>
      <c r="Y37" s="19">
        <v>47.485475527643061</v>
      </c>
      <c r="Z37" s="19">
        <v>53.806687859859522</v>
      </c>
      <c r="AA37" s="19">
        <v>63.996597746149682</v>
      </c>
      <c r="AB37" s="19">
        <v>52.225352573615943</v>
      </c>
      <c r="AC37" s="19">
        <v>51.494552715482506</v>
      </c>
      <c r="AD37" s="19">
        <v>52.204708509826865</v>
      </c>
      <c r="AE37" s="19">
        <v>44.834777737125115</v>
      </c>
      <c r="AF37" s="19">
        <v>39.549897407120497</v>
      </c>
      <c r="AG37" s="20">
        <v>30.730753356425296</v>
      </c>
    </row>
    <row r="38" spans="2:33">
      <c r="B38" s="81" t="s">
        <v>171</v>
      </c>
      <c r="C38" s="18">
        <v>12.597174877550708</v>
      </c>
      <c r="D38" s="19">
        <v>14.149547651194624</v>
      </c>
      <c r="E38" s="19">
        <v>12.033247428380939</v>
      </c>
      <c r="F38" s="19">
        <v>11.780633087767717</v>
      </c>
      <c r="G38" s="19">
        <v>11.680006628436308</v>
      </c>
      <c r="H38" s="19">
        <v>12.055259466359683</v>
      </c>
      <c r="I38" s="19">
        <v>13.660041854238711</v>
      </c>
      <c r="J38" s="19">
        <v>16.246980412883673</v>
      </c>
      <c r="K38" s="19">
        <v>13.258584209197778</v>
      </c>
      <c r="L38" s="19">
        <v>13.073054174805495</v>
      </c>
      <c r="M38" s="19">
        <v>13.253343247774268</v>
      </c>
      <c r="N38" s="19">
        <v>11.38232001958089</v>
      </c>
      <c r="O38" s="19">
        <v>10.040633895162109</v>
      </c>
      <c r="P38" s="20">
        <v>7.8016951750382697</v>
      </c>
      <c r="S38" s="81" t="s">
        <v>162</v>
      </c>
      <c r="T38" s="18">
        <v>83.829030087117985</v>
      </c>
      <c r="U38" s="19">
        <v>94.159433944583597</v>
      </c>
      <c r="V38" s="19">
        <v>80.076324296897525</v>
      </c>
      <c r="W38" s="19">
        <v>78.395279509828498</v>
      </c>
      <c r="X38" s="19">
        <v>77.725651710830064</v>
      </c>
      <c r="Y38" s="19">
        <v>80.222805377928438</v>
      </c>
      <c r="Z38" s="19">
        <v>90.901973714039073</v>
      </c>
      <c r="AA38" s="19">
        <v>108.11698837995746</v>
      </c>
      <c r="AB38" s="19">
        <v>88.230437807618188</v>
      </c>
      <c r="AC38" s="19">
        <v>86.995811553214807</v>
      </c>
      <c r="AD38" s="19">
        <v>88.195561359753682</v>
      </c>
      <c r="AE38" s="19">
        <v>75.744669472126333</v>
      </c>
      <c r="AF38" s="19">
        <v>66.816298818813706</v>
      </c>
      <c r="AG38" s="20">
        <v>51.917080291098287</v>
      </c>
    </row>
    <row r="39" spans="2:33" ht="16.5" thickBot="1">
      <c r="B39" s="82" t="s">
        <v>172</v>
      </c>
      <c r="C39" s="18">
        <v>4.6192671753929178</v>
      </c>
      <c r="D39" s="19">
        <v>5.1885078715783814</v>
      </c>
      <c r="E39" s="19">
        <v>4.4124802108096759</v>
      </c>
      <c r="F39" s="19">
        <v>4.3198488753736886</v>
      </c>
      <c r="G39" s="19">
        <v>4.2829500861543748</v>
      </c>
      <c r="H39" s="19">
        <v>4.4205518209514016</v>
      </c>
      <c r="I39" s="19">
        <v>5.0090106365219258</v>
      </c>
      <c r="J39" s="19">
        <v>5.9576170093684651</v>
      </c>
      <c r="K39" s="19">
        <v>4.8617998420323687</v>
      </c>
      <c r="L39" s="19">
        <v>4.7937676994092584</v>
      </c>
      <c r="M39" s="19">
        <v>4.8598780300938627</v>
      </c>
      <c r="N39" s="19">
        <v>4.1737911680472362</v>
      </c>
      <c r="O39" s="19">
        <v>3.6818073117897114</v>
      </c>
      <c r="P39" s="20">
        <v>2.8608092516599672</v>
      </c>
      <c r="S39" s="82" t="s">
        <v>161</v>
      </c>
      <c r="T39" s="18">
        <v>46.181204998753778</v>
      </c>
      <c r="U39" s="19">
        <v>51.872198891510834</v>
      </c>
      <c r="V39" s="19">
        <v>44.113848675794088</v>
      </c>
      <c r="W39" s="19">
        <v>43.187765267182037</v>
      </c>
      <c r="X39" s="19">
        <v>42.818868971635325</v>
      </c>
      <c r="Y39" s="19">
        <v>44.194544740444925</v>
      </c>
      <c r="Z39" s="19">
        <v>50.077672120465898</v>
      </c>
      <c r="AA39" s="19">
        <v>59.561381051812582</v>
      </c>
      <c r="AB39" s="19">
        <v>48.60592960802434</v>
      </c>
      <c r="AC39" s="19">
        <v>47.925777063110097</v>
      </c>
      <c r="AD39" s="19">
        <v>48.586716259297951</v>
      </c>
      <c r="AE39" s="19">
        <v>41.727550763976303</v>
      </c>
      <c r="AF39" s="19">
        <v>36.808933490020173</v>
      </c>
      <c r="AG39" s="20">
        <v>28.600990914105871</v>
      </c>
    </row>
    <row r="40" spans="2:33">
      <c r="B40" s="81" t="s">
        <v>173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v>0</v>
      </c>
      <c r="S40" s="81" t="s">
        <v>160</v>
      </c>
      <c r="T40" s="18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20">
        <v>0</v>
      </c>
    </row>
    <row r="41" spans="2:33" ht="16.5" thickBot="1">
      <c r="B41" s="82" t="s">
        <v>174</v>
      </c>
      <c r="C41" s="21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3">
        <v>0</v>
      </c>
      <c r="S41" s="82" t="s">
        <v>159</v>
      </c>
      <c r="T41" s="21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3">
        <v>0</v>
      </c>
    </row>
    <row r="42" spans="2:33" ht="16.5" thickBot="1"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2:33" ht="24" customHeight="1" thickBot="1">
      <c r="B43" s="90" t="s">
        <v>66</v>
      </c>
      <c r="C43" s="92" t="s">
        <v>58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4"/>
      <c r="S43" s="90" t="s">
        <v>67</v>
      </c>
      <c r="T43" s="92" t="s">
        <v>58</v>
      </c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4"/>
    </row>
    <row r="44" spans="2:33" ht="16.5" thickBot="1">
      <c r="B44" s="91"/>
      <c r="C44" s="12">
        <v>0.29166666666666669</v>
      </c>
      <c r="D44" s="13">
        <v>0.33333333333333331</v>
      </c>
      <c r="E44" s="13">
        <v>0.375</v>
      </c>
      <c r="F44" s="13">
        <v>0.41666666666666702</v>
      </c>
      <c r="G44" s="13">
        <v>0.45833333333333398</v>
      </c>
      <c r="H44" s="13">
        <v>0.5</v>
      </c>
      <c r="I44" s="13">
        <v>0.54166666666666696</v>
      </c>
      <c r="J44" s="13">
        <v>0.58333333333333304</v>
      </c>
      <c r="K44" s="13">
        <v>0.625</v>
      </c>
      <c r="L44" s="13">
        <v>0.66666666666666696</v>
      </c>
      <c r="M44" s="13">
        <v>0.70833333333333304</v>
      </c>
      <c r="N44" s="13">
        <v>0.75</v>
      </c>
      <c r="O44" s="13">
        <v>0.79166666666666696</v>
      </c>
      <c r="P44" s="14">
        <v>0.83333333333333304</v>
      </c>
      <c r="S44" s="91"/>
      <c r="T44" s="12">
        <v>0.29166666666666669</v>
      </c>
      <c r="U44" s="13">
        <v>0.33333333333333331</v>
      </c>
      <c r="V44" s="13">
        <v>0.375</v>
      </c>
      <c r="W44" s="13">
        <v>0.41666666666666702</v>
      </c>
      <c r="X44" s="13">
        <v>0.45833333333333398</v>
      </c>
      <c r="Y44" s="13">
        <v>0.5</v>
      </c>
      <c r="Z44" s="13">
        <v>0.54166666666666696</v>
      </c>
      <c r="AA44" s="13">
        <v>0.58333333333333304</v>
      </c>
      <c r="AB44" s="13">
        <v>0.625</v>
      </c>
      <c r="AC44" s="13">
        <v>0.66666666666666696</v>
      </c>
      <c r="AD44" s="13">
        <v>0.70833333333333304</v>
      </c>
      <c r="AE44" s="13">
        <v>0.75</v>
      </c>
      <c r="AF44" s="13">
        <v>0.79166666666666696</v>
      </c>
      <c r="AG44" s="14">
        <v>0.83333333333333304</v>
      </c>
    </row>
    <row r="45" spans="2:33">
      <c r="B45" s="81" t="s">
        <v>159</v>
      </c>
      <c r="C45" s="15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7">
        <v>0</v>
      </c>
      <c r="S45" s="81" t="s">
        <v>174</v>
      </c>
      <c r="T45" s="15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7">
        <v>0</v>
      </c>
    </row>
    <row r="46" spans="2:33" ht="16.5" thickBot="1">
      <c r="B46" s="82" t="s">
        <v>160</v>
      </c>
      <c r="C46" s="18">
        <v>2.314496462430077</v>
      </c>
      <c r="D46" s="19">
        <v>2.5997160714215011</v>
      </c>
      <c r="E46" s="19">
        <v>2.2108852877930834</v>
      </c>
      <c r="F46" s="19">
        <v>2.1644721036155459</v>
      </c>
      <c r="G46" s="19">
        <v>2.1459838642751157</v>
      </c>
      <c r="H46" s="19">
        <v>2.2149295901488024</v>
      </c>
      <c r="I46" s="19">
        <v>2.509778490463368</v>
      </c>
      <c r="J46" s="19">
        <v>2.9850803101735885</v>
      </c>
      <c r="K46" s="19">
        <v>2.4360181189281107</v>
      </c>
      <c r="L46" s="19">
        <v>2.4019304276441935</v>
      </c>
      <c r="M46" s="19">
        <v>2.4350551897957966</v>
      </c>
      <c r="N46" s="19">
        <v>2.0912894895596774</v>
      </c>
      <c r="O46" s="19">
        <v>1.8447796316872775</v>
      </c>
      <c r="P46" s="20">
        <v>1.433416306362711</v>
      </c>
      <c r="S46" s="82" t="s">
        <v>173</v>
      </c>
      <c r="T46" s="18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20">
        <v>0</v>
      </c>
    </row>
    <row r="47" spans="2:33">
      <c r="B47" s="81" t="s">
        <v>161</v>
      </c>
      <c r="C47" s="18">
        <v>55.78970116527946</v>
      </c>
      <c r="D47" s="19">
        <v>62.664767517898767</v>
      </c>
      <c r="E47" s="19">
        <v>53.292209134415721</v>
      </c>
      <c r="F47" s="19">
        <v>52.173444116872673</v>
      </c>
      <c r="G47" s="19">
        <v>51.727794981253865</v>
      </c>
      <c r="H47" s="19">
        <v>53.389694882832337</v>
      </c>
      <c r="I47" s="19">
        <v>60.496870160253117</v>
      </c>
      <c r="J47" s="19">
        <v>71.953766688453285</v>
      </c>
      <c r="K47" s="19">
        <v>58.718915796273912</v>
      </c>
      <c r="L47" s="19">
        <v>57.897250202476741</v>
      </c>
      <c r="M47" s="19">
        <v>58.695704903793768</v>
      </c>
      <c r="N47" s="19">
        <v>50.409416288381564</v>
      </c>
      <c r="O47" s="19">
        <v>44.467427813464134</v>
      </c>
      <c r="P47" s="20">
        <v>34.551734545945664</v>
      </c>
      <c r="S47" s="81" t="s">
        <v>172</v>
      </c>
      <c r="T47" s="18">
        <v>3.831172204703662</v>
      </c>
      <c r="U47" s="19">
        <v>4.3032945241549942</v>
      </c>
      <c r="V47" s="19">
        <v>3.6596652446328872</v>
      </c>
      <c r="W47" s="19">
        <v>3.5828377773892872</v>
      </c>
      <c r="X47" s="19">
        <v>3.5522343049603013</v>
      </c>
      <c r="Y47" s="19">
        <v>3.6663597542267272</v>
      </c>
      <c r="Z47" s="19">
        <v>4.1544213822348244</v>
      </c>
      <c r="AA47" s="19">
        <v>4.9411856525966682</v>
      </c>
      <c r="AB47" s="19">
        <v>4.0323262786900163</v>
      </c>
      <c r="AC47" s="19">
        <v>3.9759011263990742</v>
      </c>
      <c r="AD47" s="19">
        <v>4.0307323478343404</v>
      </c>
      <c r="AE47" s="19">
        <v>3.4616990323578851</v>
      </c>
      <c r="AF47" s="19">
        <v>3.053652733304741</v>
      </c>
      <c r="AG47" s="20">
        <v>2.3727254717598067</v>
      </c>
    </row>
    <row r="48" spans="2:33" ht="16.5" thickBot="1">
      <c r="B48" s="82" t="s">
        <v>162</v>
      </c>
      <c r="C48" s="18">
        <v>40.962813655149148</v>
      </c>
      <c r="D48" s="19">
        <v>46.010735690702134</v>
      </c>
      <c r="E48" s="19">
        <v>39.129064799559998</v>
      </c>
      <c r="F48" s="19">
        <v>38.307627115178995</v>
      </c>
      <c r="G48" s="19">
        <v>37.980415423475364</v>
      </c>
      <c r="H48" s="19">
        <v>39.200642357120174</v>
      </c>
      <c r="I48" s="19">
        <v>44.418987148768814</v>
      </c>
      <c r="J48" s="19">
        <v>52.831054389649829</v>
      </c>
      <c r="K48" s="19">
        <v>43.113548837076173</v>
      </c>
      <c r="L48" s="19">
        <v>42.510252280497596</v>
      </c>
      <c r="M48" s="19">
        <v>43.096506561466612</v>
      </c>
      <c r="N48" s="19">
        <v>37.012414168852096</v>
      </c>
      <c r="O48" s="19">
        <v>32.649591612803597</v>
      </c>
      <c r="P48" s="20">
        <v>25.369131472397658</v>
      </c>
      <c r="S48" s="82" t="s">
        <v>171</v>
      </c>
      <c r="T48" s="18">
        <v>8.2616433355035088</v>
      </c>
      <c r="U48" s="19">
        <v>9.2797406711567518</v>
      </c>
      <c r="V48" s="19">
        <v>7.8918010893310253</v>
      </c>
      <c r="W48" s="19">
        <v>7.7261282615846163</v>
      </c>
      <c r="X48" s="19">
        <v>7.6601341061337633</v>
      </c>
      <c r="Y48" s="19">
        <v>7.9062373108358983</v>
      </c>
      <c r="Z48" s="19">
        <v>8.9587066024531286</v>
      </c>
      <c r="AA48" s="19">
        <v>10.655306348835444</v>
      </c>
      <c r="AB48" s="19">
        <v>8.6954174197690008</v>
      </c>
      <c r="AC48" s="19">
        <v>8.573740695656495</v>
      </c>
      <c r="AD48" s="19">
        <v>8.6919802241726032</v>
      </c>
      <c r="AE48" s="19">
        <v>7.4649013962583277</v>
      </c>
      <c r="AF48" s="19">
        <v>6.5849793235803045</v>
      </c>
      <c r="AG48" s="20">
        <v>5.116609364798852</v>
      </c>
    </row>
    <row r="49" spans="2:33">
      <c r="B49" s="81" t="s">
        <v>163</v>
      </c>
      <c r="C49" s="18">
        <v>32.121918359462427</v>
      </c>
      <c r="D49" s="19">
        <v>36.080360786685247</v>
      </c>
      <c r="E49" s="19">
        <v>30.683942649910854</v>
      </c>
      <c r="F49" s="19">
        <v>30.039793679647047</v>
      </c>
      <c r="G49" s="19">
        <v>29.783203218463122</v>
      </c>
      <c r="H49" s="19">
        <v>30.740071813294836</v>
      </c>
      <c r="I49" s="19">
        <v>34.832155105717618</v>
      </c>
      <c r="J49" s="19">
        <v>41.428668211987656</v>
      </c>
      <c r="K49" s="19">
        <v>33.808466078285917</v>
      </c>
      <c r="L49" s="19">
        <v>33.335377415478071</v>
      </c>
      <c r="M49" s="19">
        <v>33.795101991765925</v>
      </c>
      <c r="N49" s="19">
        <v>29.024123104127348</v>
      </c>
      <c r="O49" s="19">
        <v>25.602916955008372</v>
      </c>
      <c r="P49" s="20">
        <v>19.893779193666074</v>
      </c>
      <c r="S49" s="81" t="s">
        <v>170</v>
      </c>
      <c r="T49" s="18">
        <v>2.5315751478622341</v>
      </c>
      <c r="U49" s="19">
        <v>2.8435457581121897</v>
      </c>
      <c r="V49" s="19">
        <v>2.4182461888382796</v>
      </c>
      <c r="W49" s="19">
        <v>2.3674798707624936</v>
      </c>
      <c r="X49" s="19">
        <v>2.3472576029812675</v>
      </c>
      <c r="Y49" s="19">
        <v>2.4226698099154231</v>
      </c>
      <c r="Z49" s="19">
        <v>2.745172851301434</v>
      </c>
      <c r="AA49" s="19">
        <v>3.2650536521771203</v>
      </c>
      <c r="AB49" s="19">
        <v>2.6644944287992507</v>
      </c>
      <c r="AC49" s="19">
        <v>2.6272096225776158</v>
      </c>
      <c r="AD49" s="19">
        <v>2.6634411856856453</v>
      </c>
      <c r="AE49" s="19">
        <v>2.2874333941284735</v>
      </c>
      <c r="AF49" s="19">
        <v>2.01780315704546</v>
      </c>
      <c r="AG49" s="20">
        <v>1.5678576989131809</v>
      </c>
    </row>
    <row r="50" spans="2:33" ht="16.5" thickBot="1">
      <c r="B50" s="82" t="s">
        <v>164</v>
      </c>
      <c r="C50" s="18">
        <v>51.537446295602365</v>
      </c>
      <c r="D50" s="19">
        <v>57.888499546042297</v>
      </c>
      <c r="E50" s="19">
        <v>49.230311488892923</v>
      </c>
      <c r="F50" s="19">
        <v>48.196818015998922</v>
      </c>
      <c r="G50" s="19">
        <v>47.785135968705042</v>
      </c>
      <c r="H50" s="19">
        <v>49.320366936738459</v>
      </c>
      <c r="I50" s="19">
        <v>55.885837920143949</v>
      </c>
      <c r="J50" s="19">
        <v>66.469497219324069</v>
      </c>
      <c r="K50" s="19">
        <v>54.243398085627753</v>
      </c>
      <c r="L50" s="19">
        <v>53.484359310929676</v>
      </c>
      <c r="M50" s="19">
        <v>54.221956312331194</v>
      </c>
      <c r="N50" s="19">
        <v>46.567243245460652</v>
      </c>
      <c r="O50" s="19">
        <v>41.078149281542281</v>
      </c>
      <c r="P50" s="20">
        <v>31.918223729253491</v>
      </c>
      <c r="S50" s="82" t="s">
        <v>169</v>
      </c>
      <c r="T50" s="18">
        <v>5.4108820212141691</v>
      </c>
      <c r="U50" s="19">
        <v>6.0776748547487145</v>
      </c>
      <c r="V50" s="19">
        <v>5.1686574807404435</v>
      </c>
      <c r="W50" s="19">
        <v>5.0601516921639238</v>
      </c>
      <c r="X50" s="19">
        <v>5.0169294693284634</v>
      </c>
      <c r="Y50" s="19">
        <v>5.1781123419856998</v>
      </c>
      <c r="Z50" s="19">
        <v>5.8674167499137155</v>
      </c>
      <c r="AA50" s="19">
        <v>6.978588061975338</v>
      </c>
      <c r="AB50" s="19">
        <v>5.6949780900597444</v>
      </c>
      <c r="AC50" s="19">
        <v>5.6152871167068659</v>
      </c>
      <c r="AD50" s="19">
        <v>5.6927269326203982</v>
      </c>
      <c r="AE50" s="19">
        <v>4.8890637267735606</v>
      </c>
      <c r="AF50" s="19">
        <v>4.3127674223007588</v>
      </c>
      <c r="AG50" s="20">
        <v>3.3510729642117707</v>
      </c>
    </row>
    <row r="51" spans="2:33">
      <c r="B51" s="81" t="s">
        <v>165</v>
      </c>
      <c r="C51" s="18">
        <v>28.805410569697358</v>
      </c>
      <c r="D51" s="19">
        <v>32.355153709464517</v>
      </c>
      <c r="E51" s="19">
        <v>27.515902258289699</v>
      </c>
      <c r="F51" s="19">
        <v>26.938260059313407</v>
      </c>
      <c r="G51" s="19">
        <v>26.708161921961857</v>
      </c>
      <c r="H51" s="19">
        <v>27.566236225835354</v>
      </c>
      <c r="I51" s="19">
        <v>31.235822145473115</v>
      </c>
      <c r="J51" s="19">
        <v>37.151261759885919</v>
      </c>
      <c r="K51" s="19">
        <v>30.31782645166432</v>
      </c>
      <c r="L51" s="19">
        <v>29.893583010922406</v>
      </c>
      <c r="M51" s="19">
        <v>30.305842173677263</v>
      </c>
      <c r="N51" s="19">
        <v>26.027454932296852</v>
      </c>
      <c r="O51" s="19">
        <v>22.959479767609498</v>
      </c>
      <c r="P51" s="20">
        <v>17.839796211537479</v>
      </c>
      <c r="S51" s="81" t="s">
        <v>168</v>
      </c>
      <c r="T51" s="18">
        <v>5.5386170954596734</v>
      </c>
      <c r="U51" s="19">
        <v>6.2211509545357071</v>
      </c>
      <c r="V51" s="19">
        <v>5.290674343141708</v>
      </c>
      <c r="W51" s="19">
        <v>5.179607050746486</v>
      </c>
      <c r="X51" s="19">
        <v>5.135364477842165</v>
      </c>
      <c r="Y51" s="19">
        <v>5.3003524059645271</v>
      </c>
      <c r="Z51" s="19">
        <v>6.0059292717615627</v>
      </c>
      <c r="AA51" s="19">
        <v>7.1433320835101464</v>
      </c>
      <c r="AB51" s="19">
        <v>5.8294198402786979</v>
      </c>
      <c r="AC51" s="19">
        <v>5.7478475964863573</v>
      </c>
      <c r="AD51" s="19">
        <v>5.8271155396065994</v>
      </c>
      <c r="AE51" s="19">
        <v>5.0044801996668822</v>
      </c>
      <c r="AF51" s="19">
        <v>4.4145792276092699</v>
      </c>
      <c r="AG51" s="20">
        <v>3.4301819804881304</v>
      </c>
    </row>
    <row r="52" spans="2:33" ht="16.5" thickBot="1">
      <c r="B52" s="82" t="s">
        <v>166</v>
      </c>
      <c r="C52" s="18">
        <v>18.335504394077173</v>
      </c>
      <c r="D52" s="19">
        <v>20.595021951709747</v>
      </c>
      <c r="E52" s="19">
        <v>17.514693829589444</v>
      </c>
      <c r="F52" s="19">
        <v>17.147007312783604</v>
      </c>
      <c r="G52" s="19">
        <v>17.000542974138952</v>
      </c>
      <c r="H52" s="19">
        <v>17.546732903667962</v>
      </c>
      <c r="I52" s="19">
        <v>19.882533971011295</v>
      </c>
      <c r="J52" s="19">
        <v>23.647888010334182</v>
      </c>
      <c r="K52" s="19">
        <v>19.298202286626907</v>
      </c>
      <c r="L52" s="19">
        <v>19.028158662250835</v>
      </c>
      <c r="M52" s="19">
        <v>19.290573935655829</v>
      </c>
      <c r="N52" s="19">
        <v>16.567252638981863</v>
      </c>
      <c r="O52" s="19">
        <v>14.614394790386523</v>
      </c>
      <c r="P52" s="20">
        <v>11.355563255543053</v>
      </c>
      <c r="S52" s="82" t="s">
        <v>167</v>
      </c>
      <c r="T52" s="18">
        <v>3.1799904331724935</v>
      </c>
      <c r="U52" s="19">
        <v>3.5718664384586023</v>
      </c>
      <c r="V52" s="19">
        <v>3.037634396140807</v>
      </c>
      <c r="W52" s="19">
        <v>2.9738652420057954</v>
      </c>
      <c r="X52" s="19">
        <v>2.9484634212715171</v>
      </c>
      <c r="Y52" s="19">
        <v>3.0431910444264303</v>
      </c>
      <c r="Z52" s="19">
        <v>3.4482971646783103</v>
      </c>
      <c r="AA52" s="19">
        <v>4.1013356393887204</v>
      </c>
      <c r="AB52" s="19">
        <v>3.346954484040511</v>
      </c>
      <c r="AC52" s="19">
        <v>3.3001198770616855</v>
      </c>
      <c r="AD52" s="19">
        <v>3.3456314725439342</v>
      </c>
      <c r="AE52" s="19">
        <v>2.8733163682659431</v>
      </c>
      <c r="AF52" s="19">
        <v>2.5346254251422291</v>
      </c>
      <c r="AG52" s="20">
        <v>1.969434913804532</v>
      </c>
    </row>
    <row r="53" spans="2:33">
      <c r="B53" s="81" t="s">
        <v>167</v>
      </c>
      <c r="C53" s="18">
        <v>60.938660812499108</v>
      </c>
      <c r="D53" s="19">
        <v>68.448242828084986</v>
      </c>
      <c r="E53" s="19">
        <v>58.210669506364596</v>
      </c>
      <c r="F53" s="19">
        <v>56.988651095995792</v>
      </c>
      <c r="G53" s="19">
        <v>56.501871978172531</v>
      </c>
      <c r="H53" s="19">
        <v>58.317152438388433</v>
      </c>
      <c r="I53" s="19">
        <v>66.080265244507274</v>
      </c>
      <c r="J53" s="19">
        <v>78.594545065213524</v>
      </c>
      <c r="K53" s="19">
        <v>64.138219389024883</v>
      </c>
      <c r="L53" s="19">
        <v>63.240720390538264</v>
      </c>
      <c r="M53" s="19">
        <v>64.112866309971594</v>
      </c>
      <c r="N53" s="19">
        <v>55.061817087945393</v>
      </c>
      <c r="O53" s="19">
        <v>48.571428850301956</v>
      </c>
      <c r="P53" s="20">
        <v>37.740593478734475</v>
      </c>
      <c r="S53" s="81" t="s">
        <v>166</v>
      </c>
      <c r="T53" s="18">
        <v>10.194883202500021</v>
      </c>
      <c r="U53" s="19">
        <v>11.451217203407204</v>
      </c>
      <c r="V53" s="19">
        <v>9.7384971846147632</v>
      </c>
      <c r="W53" s="19">
        <v>9.5340566078297329</v>
      </c>
      <c r="X53" s="19">
        <v>9.4526196975751144</v>
      </c>
      <c r="Y53" s="19">
        <v>9.7563115087329617</v>
      </c>
      <c r="Z53" s="19">
        <v>11.055060567064427</v>
      </c>
      <c r="AA53" s="19">
        <v>13.148667801526903</v>
      </c>
      <c r="AB53" s="19">
        <v>10.730161227194436</v>
      </c>
      <c r="AC53" s="19">
        <v>10.580011923912487</v>
      </c>
      <c r="AD53" s="19">
        <v>10.72591972145201</v>
      </c>
      <c r="AE53" s="19">
        <v>9.2117021714052019</v>
      </c>
      <c r="AF53" s="19">
        <v>8.1258767013436266</v>
      </c>
      <c r="AG53" s="20">
        <v>6.3139054481783701</v>
      </c>
    </row>
    <row r="54" spans="2:33" ht="16.5" thickBot="1">
      <c r="B54" s="82" t="s">
        <v>168</v>
      </c>
      <c r="C54" s="18">
        <v>31.768900781657084</v>
      </c>
      <c r="D54" s="19">
        <v>35.68384021064977</v>
      </c>
      <c r="E54" s="19">
        <v>30.346728321968989</v>
      </c>
      <c r="F54" s="19">
        <v>29.709658502666333</v>
      </c>
      <c r="G54" s="19">
        <v>29.455887952238715</v>
      </c>
      <c r="H54" s="19">
        <v>30.402240629875031</v>
      </c>
      <c r="I54" s="19">
        <v>34.449352220548768</v>
      </c>
      <c r="J54" s="19">
        <v>40.973370121125377</v>
      </c>
      <c r="K54" s="19">
        <v>33.436913462071928</v>
      </c>
      <c r="L54" s="19">
        <v>32.969024009721018</v>
      </c>
      <c r="M54" s="19">
        <v>33.423696245903827</v>
      </c>
      <c r="N54" s="19">
        <v>28.705150073890355</v>
      </c>
      <c r="O54" s="19">
        <v>25.321542734855484</v>
      </c>
      <c r="P54" s="20">
        <v>19.675147987841044</v>
      </c>
      <c r="S54" s="82" t="s">
        <v>165</v>
      </c>
      <c r="T54" s="18">
        <v>2.8607418530896753</v>
      </c>
      <c r="U54" s="19">
        <v>3.2132762751587221</v>
      </c>
      <c r="V54" s="19">
        <v>2.732677356753991</v>
      </c>
      <c r="W54" s="19">
        <v>2.67531017530994</v>
      </c>
      <c r="X54" s="19">
        <v>2.6524585179712306</v>
      </c>
      <c r="Y54" s="19">
        <v>2.7376761567968337</v>
      </c>
      <c r="Z54" s="19">
        <v>3.1021124837297922</v>
      </c>
      <c r="AA54" s="19">
        <v>3.6895905078124449</v>
      </c>
      <c r="AB54" s="19">
        <v>3.0109438924722332</v>
      </c>
      <c r="AC54" s="19">
        <v>2.9688111492539884</v>
      </c>
      <c r="AD54" s="19">
        <v>3.0097537019858418</v>
      </c>
      <c r="AE54" s="19">
        <v>2.5848556983442155</v>
      </c>
      <c r="AF54" s="19">
        <v>2.2801669338280912</v>
      </c>
      <c r="AG54" s="20">
        <v>1.7717175580418083</v>
      </c>
    </row>
    <row r="55" spans="2:33">
      <c r="B55" s="81" t="s">
        <v>169</v>
      </c>
      <c r="C55" s="18">
        <v>8.3452932817194778</v>
      </c>
      <c r="D55" s="19">
        <v>9.3736989523990033</v>
      </c>
      <c r="E55" s="19">
        <v>7.9717063466583129</v>
      </c>
      <c r="F55" s="19">
        <v>7.8043560653390927</v>
      </c>
      <c r="G55" s="19">
        <v>7.7376937126144236</v>
      </c>
      <c r="H55" s="19">
        <v>7.9862887363168342</v>
      </c>
      <c r="I55" s="19">
        <v>9.0494143823737918</v>
      </c>
      <c r="J55" s="19">
        <v>10.763192367003819</v>
      </c>
      <c r="K55" s="19">
        <v>8.7834593709826656</v>
      </c>
      <c r="L55" s="19">
        <v>8.6605506581465583</v>
      </c>
      <c r="M55" s="19">
        <v>8.7799873734449232</v>
      </c>
      <c r="N55" s="19">
        <v>7.5404842524706108</v>
      </c>
      <c r="O55" s="19">
        <v>6.651652882808361</v>
      </c>
      <c r="P55" s="20">
        <v>5.1684155346844802</v>
      </c>
      <c r="S55" s="81" t="s">
        <v>164</v>
      </c>
      <c r="T55" s="18">
        <v>12.525750728622363</v>
      </c>
      <c r="U55" s="19">
        <v>14.06932177447772</v>
      </c>
      <c r="V55" s="19">
        <v>11.965020666049652</v>
      </c>
      <c r="W55" s="19">
        <v>11.713838611997565</v>
      </c>
      <c r="X55" s="19">
        <v>11.613782690051504</v>
      </c>
      <c r="Y55" s="19">
        <v>11.98690789897535</v>
      </c>
      <c r="Z55" s="19">
        <v>13.582591404177617</v>
      </c>
      <c r="AA55" s="19">
        <v>16.154862397540906</v>
      </c>
      <c r="AB55" s="19">
        <v>13.183409965580317</v>
      </c>
      <c r="AC55" s="19">
        <v>12.99893185949227</v>
      </c>
      <c r="AD55" s="19">
        <v>13.178198719645625</v>
      </c>
      <c r="AE55" s="19">
        <v>11.317783920961077</v>
      </c>
      <c r="AF55" s="19">
        <v>9.9837049616802798</v>
      </c>
      <c r="AG55" s="20">
        <v>7.7574606983804495</v>
      </c>
    </row>
    <row r="56" spans="2:33" ht="16.5" thickBot="1">
      <c r="B56" s="82" t="s">
        <v>170</v>
      </c>
      <c r="C56" s="18">
        <v>26.209564677591036</v>
      </c>
      <c r="D56" s="19">
        <v>29.439417006390528</v>
      </c>
      <c r="E56" s="19">
        <v>25.036262481173662</v>
      </c>
      <c r="F56" s="19">
        <v>24.510675437797108</v>
      </c>
      <c r="G56" s="19">
        <v>24.301312964086939</v>
      </c>
      <c r="H56" s="19">
        <v>25.082060522297759</v>
      </c>
      <c r="I56" s="19">
        <v>28.42095580615463</v>
      </c>
      <c r="J56" s="19">
        <v>33.803316067786739</v>
      </c>
      <c r="K56" s="19">
        <v>27.585686770415126</v>
      </c>
      <c r="L56" s="19">
        <v>27.199674709512017</v>
      </c>
      <c r="M56" s="19">
        <v>27.574782474909387</v>
      </c>
      <c r="N56" s="19">
        <v>23.681948979361042</v>
      </c>
      <c r="O56" s="19">
        <v>20.890449329892206</v>
      </c>
      <c r="P56" s="20">
        <v>16.232134289841078</v>
      </c>
      <c r="S56" s="82" t="s">
        <v>163</v>
      </c>
      <c r="T56" s="18">
        <v>16.877138747232323</v>
      </c>
      <c r="U56" s="19">
        <v>18.956939253527135</v>
      </c>
      <c r="V56" s="19">
        <v>16.121613647714018</v>
      </c>
      <c r="W56" s="19">
        <v>15.783172106851728</v>
      </c>
      <c r="X56" s="19">
        <v>15.648357219205337</v>
      </c>
      <c r="Y56" s="19">
        <v>16.151104404386665</v>
      </c>
      <c r="Z56" s="19">
        <v>18.301120997997305</v>
      </c>
      <c r="AA56" s="19">
        <v>21.766987067906555</v>
      </c>
      <c r="AB56" s="19">
        <v>17.763265769158064</v>
      </c>
      <c r="AC56" s="19">
        <v>17.514700820060035</v>
      </c>
      <c r="AD56" s="19">
        <v>17.756244160426483</v>
      </c>
      <c r="AE56" s="19">
        <v>15.249529843251437</v>
      </c>
      <c r="AF56" s="19">
        <v>13.451998007966251</v>
      </c>
      <c r="AG56" s="20">
        <v>10.452366757834097</v>
      </c>
    </row>
    <row r="57" spans="2:33">
      <c r="B57" s="81" t="s">
        <v>171</v>
      </c>
      <c r="C57" s="18">
        <v>71.191822002496835</v>
      </c>
      <c r="D57" s="19">
        <v>79.964919721393287</v>
      </c>
      <c r="E57" s="19">
        <v>68.00483579536224</v>
      </c>
      <c r="F57" s="19">
        <v>66.577208144954383</v>
      </c>
      <c r="G57" s="19">
        <v>66.008526591264939</v>
      </c>
      <c r="H57" s="19">
        <v>68.12923488523181</v>
      </c>
      <c r="I57" s="19">
        <v>77.19852091334154</v>
      </c>
      <c r="J57" s="19">
        <v>91.818375856107565</v>
      </c>
      <c r="K57" s="19">
        <v>74.929718464768044</v>
      </c>
      <c r="L57" s="19">
        <v>73.881211850153136</v>
      </c>
      <c r="M57" s="19">
        <v>74.900099633846722</v>
      </c>
      <c r="N57" s="19">
        <v>64.326176994933675</v>
      </c>
      <c r="O57" s="19">
        <v>56.743756279074482</v>
      </c>
      <c r="P57" s="20">
        <v>44.090591709484436</v>
      </c>
      <c r="S57" s="81" t="s">
        <v>162</v>
      </c>
      <c r="T57" s="18">
        <v>36.147072495632678</v>
      </c>
      <c r="U57" s="19">
        <v>40.601541988562609</v>
      </c>
      <c r="V57" s="19">
        <v>34.528905995162511</v>
      </c>
      <c r="W57" s="19">
        <v>33.804039588818071</v>
      </c>
      <c r="X57" s="19">
        <v>33.515296124050167</v>
      </c>
      <c r="Y57" s="19">
        <v>34.59206862808049</v>
      </c>
      <c r="Z57" s="19">
        <v>39.196925342243723</v>
      </c>
      <c r="AA57" s="19">
        <v>46.620038582318728</v>
      </c>
      <c r="AB57" s="19">
        <v>38.044959227596742</v>
      </c>
      <c r="AC57" s="19">
        <v>37.512588464430912</v>
      </c>
      <c r="AD57" s="19">
        <v>38.02992050547342</v>
      </c>
      <c r="AE57" s="19">
        <v>32.661096707445104</v>
      </c>
      <c r="AF57" s="19">
        <v>28.811183843872971</v>
      </c>
      <c r="AG57" s="20">
        <v>22.386641752786989</v>
      </c>
    </row>
    <row r="58" spans="2:33" ht="16.5" thickBot="1">
      <c r="B58" s="82" t="s">
        <v>172</v>
      </c>
      <c r="C58" s="18">
        <v>33.771778623631896</v>
      </c>
      <c r="D58" s="19">
        <v>37.933536332202266</v>
      </c>
      <c r="E58" s="19">
        <v>32.259944965825767</v>
      </c>
      <c r="F58" s="19">
        <v>31.582710929522282</v>
      </c>
      <c r="G58" s="19">
        <v>31.31294135489517</v>
      </c>
      <c r="H58" s="19">
        <v>32.318957060275451</v>
      </c>
      <c r="I58" s="19">
        <v>36.62121975563079</v>
      </c>
      <c r="J58" s="19">
        <v>43.556545903336193</v>
      </c>
      <c r="K58" s="19">
        <v>35.544951556858024</v>
      </c>
      <c r="L58" s="19">
        <v>35.047563903639286</v>
      </c>
      <c r="M58" s="19">
        <v>35.530901058179538</v>
      </c>
      <c r="N58" s="19">
        <v>30.514873029956625</v>
      </c>
      <c r="O58" s="19">
        <v>26.917945368261766</v>
      </c>
      <c r="P58" s="20">
        <v>20.91557233280847</v>
      </c>
      <c r="S58" s="82" t="s">
        <v>161</v>
      </c>
      <c r="T58" s="18">
        <v>108.42546453263785</v>
      </c>
      <c r="U58" s="19">
        <v>121.78693174622052</v>
      </c>
      <c r="V58" s="19">
        <v>103.57167023087722</v>
      </c>
      <c r="W58" s="19">
        <v>101.39738690982831</v>
      </c>
      <c r="X58" s="19">
        <v>100.53128235040634</v>
      </c>
      <c r="Y58" s="19">
        <v>103.76113060325076</v>
      </c>
      <c r="Z58" s="19">
        <v>117.57369394153238</v>
      </c>
      <c r="AA58" s="19">
        <v>139.8397986566722</v>
      </c>
      <c r="AB58" s="19">
        <v>114.11829762633849</v>
      </c>
      <c r="AC58" s="19">
        <v>112.52141734490425</v>
      </c>
      <c r="AD58" s="19">
        <v>114.07318801386859</v>
      </c>
      <c r="AE58" s="19">
        <v>97.969056362116348</v>
      </c>
      <c r="AF58" s="19">
        <v>86.420995569823432</v>
      </c>
      <c r="AG58" s="20">
        <v>67.150169122684602</v>
      </c>
    </row>
    <row r="59" spans="2:33">
      <c r="B59" s="81" t="s">
        <v>173</v>
      </c>
      <c r="C59" s="18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v>0</v>
      </c>
      <c r="S59" s="81" t="s">
        <v>160</v>
      </c>
      <c r="T59" s="18">
        <v>229.06435617508913</v>
      </c>
      <c r="U59" s="19">
        <v>257.29237344046663</v>
      </c>
      <c r="V59" s="19">
        <v>218.81001904560017</v>
      </c>
      <c r="W59" s="19">
        <v>214.21653345413768</v>
      </c>
      <c r="X59" s="19">
        <v>212.38676326002812</v>
      </c>
      <c r="Y59" s="19">
        <v>219.21028127556164</v>
      </c>
      <c r="Z59" s="19">
        <v>248.3913038503712</v>
      </c>
      <c r="AA59" s="19">
        <v>295.43164592393754</v>
      </c>
      <c r="AB59" s="19">
        <v>241.09128318012165</v>
      </c>
      <c r="AC59" s="19">
        <v>237.71764438473221</v>
      </c>
      <c r="AD59" s="19">
        <v>240.99598264917844</v>
      </c>
      <c r="AE59" s="19">
        <v>206.97369310245404</v>
      </c>
      <c r="AF59" s="19">
        <v>182.57675718099341</v>
      </c>
      <c r="AG59" s="20">
        <v>141.86437036205595</v>
      </c>
    </row>
    <row r="60" spans="2:33" ht="16.5" thickBot="1">
      <c r="B60" s="82" t="s">
        <v>174</v>
      </c>
      <c r="C60" s="21">
        <v>236.36319853924374</v>
      </c>
      <c r="D60" s="22">
        <v>265.4906654252996</v>
      </c>
      <c r="E60" s="22">
        <v>225.78212008907619</v>
      </c>
      <c r="F60" s="22">
        <v>221.0422689617707</v>
      </c>
      <c r="G60" s="22">
        <v>219.15419548367387</v>
      </c>
      <c r="H60" s="22">
        <v>226.19513616240988</v>
      </c>
      <c r="I60" s="22">
        <v>256.30597465164124</v>
      </c>
      <c r="J60" s="22">
        <v>304.84519698437992</v>
      </c>
      <c r="K60" s="22">
        <v>248.77334817131748</v>
      </c>
      <c r="L60" s="22">
        <v>245.29221269607655</v>
      </c>
      <c r="M60" s="22">
        <v>248.67501101099995</v>
      </c>
      <c r="N60" s="22">
        <v>213.56864477763753</v>
      </c>
      <c r="O60" s="22">
        <v>188.3943317363468</v>
      </c>
      <c r="P60" s="23">
        <v>146.3846968486929</v>
      </c>
      <c r="S60" s="82" t="s">
        <v>159</v>
      </c>
      <c r="T60" s="21">
        <v>364.49979958187237</v>
      </c>
      <c r="U60" s="22">
        <v>409.41777288697745</v>
      </c>
      <c r="V60" s="22">
        <v>348.18253446496044</v>
      </c>
      <c r="W60" s="22">
        <v>340.87312760032142</v>
      </c>
      <c r="X60" s="22">
        <v>337.96149665009182</v>
      </c>
      <c r="Y60" s="22">
        <v>348.81945373532318</v>
      </c>
      <c r="Z60" s="22">
        <v>395.25390149367286</v>
      </c>
      <c r="AA60" s="22">
        <v>470.10708050582639</v>
      </c>
      <c r="AB60" s="22">
        <v>383.63770718181917</v>
      </c>
      <c r="AC60" s="22">
        <v>378.26938761733339</v>
      </c>
      <c r="AD60" s="22">
        <v>383.48605973649472</v>
      </c>
      <c r="AE60" s="22">
        <v>329.34792175566247</v>
      </c>
      <c r="AF60" s="22">
        <v>290.52617575260075</v>
      </c>
      <c r="AG60" s="23">
        <v>225.74238710999137</v>
      </c>
    </row>
    <row r="61" spans="2:33" ht="16.5" thickBot="1"/>
    <row r="62" spans="2:33" ht="16.5" customHeight="1" thickBot="1">
      <c r="B62" s="90" t="s">
        <v>66</v>
      </c>
      <c r="C62" s="92" t="s">
        <v>41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4"/>
      <c r="S62" s="90" t="s">
        <v>67</v>
      </c>
      <c r="T62" s="92" t="s">
        <v>41</v>
      </c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4"/>
    </row>
    <row r="63" spans="2:33" ht="16.5" thickBot="1">
      <c r="B63" s="91"/>
      <c r="C63" s="12">
        <v>0.29166666666666669</v>
      </c>
      <c r="D63" s="13">
        <v>0.33333333333333331</v>
      </c>
      <c r="E63" s="13">
        <v>0.375</v>
      </c>
      <c r="F63" s="13">
        <v>0.41666666666666702</v>
      </c>
      <c r="G63" s="13">
        <v>0.45833333333333398</v>
      </c>
      <c r="H63" s="13">
        <v>0.5</v>
      </c>
      <c r="I63" s="13">
        <v>0.54166666666666696</v>
      </c>
      <c r="J63" s="13">
        <v>0.58333333333333304</v>
      </c>
      <c r="K63" s="13">
        <v>0.625</v>
      </c>
      <c r="L63" s="13">
        <v>0.66666666666666696</v>
      </c>
      <c r="M63" s="13">
        <v>0.70833333333333304</v>
      </c>
      <c r="N63" s="13">
        <v>0.75</v>
      </c>
      <c r="O63" s="13">
        <v>0.79166666666666696</v>
      </c>
      <c r="P63" s="14">
        <v>0.83333333333333304</v>
      </c>
      <c r="S63" s="91"/>
      <c r="T63" s="12">
        <v>0.29166666666666669</v>
      </c>
      <c r="U63" s="13">
        <v>0.33333333333333331</v>
      </c>
      <c r="V63" s="13">
        <v>0.375</v>
      </c>
      <c r="W63" s="13">
        <v>0.41666666666666702</v>
      </c>
      <c r="X63" s="13">
        <v>0.45833333333333398</v>
      </c>
      <c r="Y63" s="13">
        <v>0.5</v>
      </c>
      <c r="Z63" s="13">
        <v>0.54166666666666696</v>
      </c>
      <c r="AA63" s="13">
        <v>0.58333333333333304</v>
      </c>
      <c r="AB63" s="13">
        <v>0.625</v>
      </c>
      <c r="AC63" s="13">
        <v>0.66666666666666696</v>
      </c>
      <c r="AD63" s="13">
        <v>0.70833333333333304</v>
      </c>
      <c r="AE63" s="13">
        <v>0.75</v>
      </c>
      <c r="AF63" s="13">
        <v>0.79166666666666696</v>
      </c>
      <c r="AG63" s="14">
        <v>0.83333333333333304</v>
      </c>
    </row>
    <row r="64" spans="2:33">
      <c r="B64" s="81" t="s">
        <v>159</v>
      </c>
      <c r="C64" s="15">
        <f>C26-C45</f>
        <v>284.12510813652773</v>
      </c>
      <c r="D64" s="16">
        <f t="shared" ref="D64:P64" si="0">D26-D45</f>
        <v>319.13836201822164</v>
      </c>
      <c r="E64" s="16">
        <f t="shared" si="0"/>
        <v>271.40591125040254</v>
      </c>
      <c r="F64" s="16">
        <f t="shared" si="0"/>
        <v>265.70827844453612</v>
      </c>
      <c r="G64" s="16">
        <f t="shared" si="0"/>
        <v>263.43868197414946</v>
      </c>
      <c r="H64" s="16">
        <f t="shared" si="0"/>
        <v>271.90238547829961</v>
      </c>
      <c r="I64" s="16">
        <f t="shared" si="0"/>
        <v>308.09772085498656</v>
      </c>
      <c r="J64" s="16">
        <f t="shared" si="0"/>
        <v>366.44526344784316</v>
      </c>
      <c r="K64" s="16">
        <f t="shared" si="0"/>
        <v>299.04297660333992</v>
      </c>
      <c r="L64" s="16">
        <f t="shared" si="0"/>
        <v>294.85840811106453</v>
      </c>
      <c r="M64" s="16">
        <f t="shared" si="0"/>
        <v>298.92476845384056</v>
      </c>
      <c r="N64" s="16">
        <f t="shared" si="0"/>
        <v>256.72445908258896</v>
      </c>
      <c r="O64" s="16">
        <f t="shared" si="0"/>
        <v>226.46317281076711</v>
      </c>
      <c r="P64" s="17">
        <f t="shared" si="0"/>
        <v>175.9646513446643</v>
      </c>
      <c r="S64" s="81" t="s">
        <v>174</v>
      </c>
      <c r="T64" s="15">
        <f>T26-T45</f>
        <v>245.54540613777505</v>
      </c>
      <c r="U64" s="16">
        <f t="shared" ref="U64:AG64" si="1">U26-U45</f>
        <v>275.80441316806662</v>
      </c>
      <c r="V64" s="16">
        <f t="shared" si="1"/>
        <v>234.55327529219983</v>
      </c>
      <c r="W64" s="16">
        <f t="shared" si="1"/>
        <v>229.62929102866147</v>
      </c>
      <c r="X64" s="16">
        <f t="shared" si="1"/>
        <v>227.66786991123541</v>
      </c>
      <c r="Y64" s="16">
        <f t="shared" si="1"/>
        <v>234.98233616163674</v>
      </c>
      <c r="Z64" s="16">
        <f t="shared" si="1"/>
        <v>266.26291669058782</v>
      </c>
      <c r="AA64" s="16">
        <f t="shared" si="1"/>
        <v>316.68778458441614</v>
      </c>
      <c r="AB64" s="16">
        <f t="shared" si="1"/>
        <v>258.43766369085677</v>
      </c>
      <c r="AC64" s="16">
        <f t="shared" si="1"/>
        <v>254.82129350560248</v>
      </c>
      <c r="AD64" s="16">
        <f t="shared" si="1"/>
        <v>258.33550634099078</v>
      </c>
      <c r="AE64" s="16">
        <f t="shared" si="1"/>
        <v>221.86533243885</v>
      </c>
      <c r="AF64" s="16">
        <f t="shared" si="1"/>
        <v>195.71305087316915</v>
      </c>
      <c r="AG64" s="17">
        <f t="shared" si="1"/>
        <v>152.07143101043931</v>
      </c>
    </row>
    <row r="65" spans="2:33" ht="16.5" thickBot="1">
      <c r="B65" s="82" t="s">
        <v>160</v>
      </c>
      <c r="C65" s="18">
        <f>C64+C27-C46</f>
        <v>466.12345170830366</v>
      </c>
      <c r="D65" s="19">
        <f t="shared" ref="D65:P79" si="2">D64+D27-D46</f>
        <v>523.56469251209774</v>
      </c>
      <c r="E65" s="19">
        <f t="shared" si="2"/>
        <v>445.25688347573021</v>
      </c>
      <c r="F65" s="19">
        <f t="shared" si="2"/>
        <v>435.90959175816482</v>
      </c>
      <c r="G65" s="19">
        <f t="shared" si="2"/>
        <v>432.18618924826319</v>
      </c>
      <c r="H65" s="19">
        <f t="shared" si="2"/>
        <v>446.07137777477112</v>
      </c>
      <c r="I65" s="19">
        <f t="shared" si="2"/>
        <v>505.45189071913899</v>
      </c>
      <c r="J65" s="19">
        <f t="shared" si="2"/>
        <v>601.17436357785868</v>
      </c>
      <c r="K65" s="19">
        <f t="shared" si="2"/>
        <v>490.59706612234419</v>
      </c>
      <c r="L65" s="19">
        <f t="shared" si="2"/>
        <v>483.73204274471323</v>
      </c>
      <c r="M65" s="19">
        <f t="shared" si="2"/>
        <v>490.40313890828679</v>
      </c>
      <c r="N65" s="19">
        <f t="shared" si="2"/>
        <v>421.17112348980436</v>
      </c>
      <c r="O65" s="19">
        <f t="shared" si="2"/>
        <v>371.52575669111673</v>
      </c>
      <c r="P65" s="20">
        <f t="shared" si="2"/>
        <v>288.68005084580665</v>
      </c>
      <c r="S65" s="82" t="s">
        <v>173</v>
      </c>
      <c r="T65" s="18">
        <f>T64+T27-T46</f>
        <v>245.54540613777505</v>
      </c>
      <c r="U65" s="19">
        <f t="shared" ref="U65:AG79" si="3">U64+U27-U46</f>
        <v>275.80441316806662</v>
      </c>
      <c r="V65" s="19">
        <f t="shared" si="3"/>
        <v>234.55327529219983</v>
      </c>
      <c r="W65" s="19">
        <f t="shared" si="3"/>
        <v>229.62929102866147</v>
      </c>
      <c r="X65" s="19">
        <f t="shared" si="3"/>
        <v>227.66786991123541</v>
      </c>
      <c r="Y65" s="19">
        <f t="shared" si="3"/>
        <v>234.98233616163674</v>
      </c>
      <c r="Z65" s="19">
        <f t="shared" si="3"/>
        <v>266.26291669058782</v>
      </c>
      <c r="AA65" s="19">
        <f t="shared" si="3"/>
        <v>316.68778458441614</v>
      </c>
      <c r="AB65" s="19">
        <f t="shared" si="3"/>
        <v>258.43766369085677</v>
      </c>
      <c r="AC65" s="19">
        <f t="shared" si="3"/>
        <v>254.82129350560248</v>
      </c>
      <c r="AD65" s="19">
        <f t="shared" si="3"/>
        <v>258.33550634099078</v>
      </c>
      <c r="AE65" s="19">
        <f t="shared" si="3"/>
        <v>221.86533243885</v>
      </c>
      <c r="AF65" s="19">
        <f t="shared" si="3"/>
        <v>195.71305087316915</v>
      </c>
      <c r="AG65" s="20">
        <f t="shared" si="3"/>
        <v>152.07143101043931</v>
      </c>
    </row>
    <row r="66" spans="2:33">
      <c r="B66" s="81" t="s">
        <v>161</v>
      </c>
      <c r="C66" s="18">
        <f>C65+C28-C47</f>
        <v>528.55666035905404</v>
      </c>
      <c r="D66" s="19">
        <f t="shared" si="2"/>
        <v>593.69165902703185</v>
      </c>
      <c r="E66" s="19">
        <f t="shared" si="2"/>
        <v>504.89519561673654</v>
      </c>
      <c r="F66" s="19">
        <f t="shared" si="2"/>
        <v>494.29591494220404</v>
      </c>
      <c r="G66" s="19">
        <f t="shared" si="2"/>
        <v>490.07379483948569</v>
      </c>
      <c r="H66" s="19">
        <f t="shared" si="2"/>
        <v>505.81878438920609</v>
      </c>
      <c r="I66" s="19">
        <f t="shared" si="2"/>
        <v>573.15280394401657</v>
      </c>
      <c r="J66" s="19">
        <f t="shared" si="2"/>
        <v>681.69647491806768</v>
      </c>
      <c r="K66" s="19">
        <f t="shared" si="2"/>
        <v>556.3083039508798</v>
      </c>
      <c r="L66" s="19">
        <f t="shared" si="2"/>
        <v>548.52377001149296</v>
      </c>
      <c r="M66" s="19">
        <f t="shared" si="2"/>
        <v>556.08840186219652</v>
      </c>
      <c r="N66" s="19">
        <f t="shared" si="2"/>
        <v>477.58335620227712</v>
      </c>
      <c r="O66" s="19">
        <f t="shared" si="2"/>
        <v>421.28842149936577</v>
      </c>
      <c r="P66" s="20">
        <f t="shared" si="2"/>
        <v>327.3462492138824</v>
      </c>
      <c r="S66" s="81" t="s">
        <v>172</v>
      </c>
      <c r="T66" s="18">
        <f>T65+T28-T47</f>
        <v>320.53709044382612</v>
      </c>
      <c r="U66" s="19">
        <f t="shared" si="3"/>
        <v>360.03745913639608</v>
      </c>
      <c r="V66" s="19">
        <f t="shared" si="3"/>
        <v>306.18786805584324</v>
      </c>
      <c r="W66" s="19">
        <f t="shared" si="3"/>
        <v>299.76005654003677</v>
      </c>
      <c r="X66" s="19">
        <f t="shared" si="3"/>
        <v>297.19960050054539</v>
      </c>
      <c r="Y66" s="19">
        <f t="shared" si="3"/>
        <v>306.74796781448185</v>
      </c>
      <c r="Z66" s="19">
        <f t="shared" si="3"/>
        <v>347.58190736095372</v>
      </c>
      <c r="AA66" s="19">
        <f t="shared" si="3"/>
        <v>413.40696470954435</v>
      </c>
      <c r="AB66" s="19">
        <f t="shared" si="3"/>
        <v>337.36675462006627</v>
      </c>
      <c r="AC66" s="19">
        <f t="shared" si="3"/>
        <v>332.64591379725402</v>
      </c>
      <c r="AD66" s="19">
        <f t="shared" si="3"/>
        <v>337.23339753467604</v>
      </c>
      <c r="AE66" s="19">
        <f t="shared" si="3"/>
        <v>289.62491805038343</v>
      </c>
      <c r="AF66" s="19">
        <f t="shared" si="3"/>
        <v>255.4855041904984</v>
      </c>
      <c r="AG66" s="20">
        <f t="shared" si="3"/>
        <v>198.51535731181542</v>
      </c>
    </row>
    <row r="67" spans="2:33" ht="16.5" thickBot="1">
      <c r="B67" s="82" t="s">
        <v>162</v>
      </c>
      <c r="C67" s="18">
        <f t="shared" ref="C67:C78" si="4">C66+C29-C48</f>
        <v>517.5676943682605</v>
      </c>
      <c r="D67" s="19">
        <f t="shared" si="2"/>
        <v>581.34850276894213</v>
      </c>
      <c r="E67" s="19">
        <f t="shared" si="2"/>
        <v>494.39816370008572</v>
      </c>
      <c r="F67" s="19">
        <f t="shared" si="2"/>
        <v>484.01924754575464</v>
      </c>
      <c r="G67" s="19">
        <f t="shared" si="2"/>
        <v>479.8849075008759</v>
      </c>
      <c r="H67" s="19">
        <f t="shared" si="2"/>
        <v>495.30255058490286</v>
      </c>
      <c r="I67" s="19">
        <f t="shared" si="2"/>
        <v>561.23666109229237</v>
      </c>
      <c r="J67" s="19">
        <f t="shared" si="2"/>
        <v>667.52365307938408</v>
      </c>
      <c r="K67" s="19">
        <f t="shared" si="2"/>
        <v>544.7423669549114</v>
      </c>
      <c r="L67" s="19">
        <f t="shared" si="2"/>
        <v>537.11967749716632</v>
      </c>
      <c r="M67" s="19">
        <f t="shared" si="2"/>
        <v>544.5270367442406</v>
      </c>
      <c r="N67" s="19">
        <f t="shared" si="2"/>
        <v>467.65415153477613</v>
      </c>
      <c r="O67" s="19">
        <f t="shared" si="2"/>
        <v>412.52961760305931</v>
      </c>
      <c r="P67" s="20">
        <f t="shared" si="2"/>
        <v>320.54055160450679</v>
      </c>
      <c r="S67" s="82" t="s">
        <v>171</v>
      </c>
      <c r="T67" s="18">
        <f t="shared" ref="T67" si="5">T66+T29-T48</f>
        <v>369.31118770628888</v>
      </c>
      <c r="U67" s="19">
        <f t="shared" si="3"/>
        <v>414.82207712158373</v>
      </c>
      <c r="V67" s="19">
        <f t="shared" si="3"/>
        <v>352.7785351030285</v>
      </c>
      <c r="W67" s="19">
        <f t="shared" si="3"/>
        <v>345.37264425286907</v>
      </c>
      <c r="X67" s="19">
        <f t="shared" si="3"/>
        <v>342.42257984782634</v>
      </c>
      <c r="Y67" s="19">
        <f t="shared" si="3"/>
        <v>353.42386169163149</v>
      </c>
      <c r="Z67" s="19">
        <f t="shared" si="3"/>
        <v>400.47124298455287</v>
      </c>
      <c r="AA67" s="19">
        <f t="shared" si="3"/>
        <v>476.31248206419343</v>
      </c>
      <c r="AB67" s="19">
        <f t="shared" si="3"/>
        <v>388.70171520193441</v>
      </c>
      <c r="AC67" s="19">
        <f t="shared" si="3"/>
        <v>383.2625339551368</v>
      </c>
      <c r="AD67" s="19">
        <f t="shared" si="3"/>
        <v>388.54806601417175</v>
      </c>
      <c r="AE67" s="19">
        <f t="shared" si="3"/>
        <v>333.69530598290822</v>
      </c>
      <c r="AF67" s="19">
        <f t="shared" si="3"/>
        <v>294.36111391567152</v>
      </c>
      <c r="AG67" s="20">
        <f t="shared" si="3"/>
        <v>228.72218090347047</v>
      </c>
    </row>
    <row r="68" spans="2:33">
      <c r="B68" s="81" t="s">
        <v>163</v>
      </c>
      <c r="C68" s="18">
        <f>C67+C30-C49</f>
        <v>493.75203996789224</v>
      </c>
      <c r="D68" s="19">
        <f t="shared" si="2"/>
        <v>554.59800195761147</v>
      </c>
      <c r="E68" s="19">
        <f t="shared" si="2"/>
        <v>471.64864526804809</v>
      </c>
      <c r="F68" s="19">
        <f t="shared" si="2"/>
        <v>461.74731046756028</v>
      </c>
      <c r="G68" s="19">
        <f t="shared" si="2"/>
        <v>457.80321029807141</v>
      </c>
      <c r="H68" s="19">
        <f t="shared" si="2"/>
        <v>472.51141718012371</v>
      </c>
      <c r="I68" s="19">
        <f t="shared" si="2"/>
        <v>535.41159800811874</v>
      </c>
      <c r="J68" s="19">
        <f t="shared" si="2"/>
        <v>636.80783986539598</v>
      </c>
      <c r="K68" s="19">
        <f t="shared" si="2"/>
        <v>519.67628170692842</v>
      </c>
      <c r="L68" s="19">
        <f t="shared" si="2"/>
        <v>512.40434701943343</v>
      </c>
      <c r="M68" s="19">
        <f t="shared" si="2"/>
        <v>519.47085982310091</v>
      </c>
      <c r="N68" s="19">
        <f t="shared" si="2"/>
        <v>446.13524729666671</v>
      </c>
      <c r="O68" s="19">
        <f t="shared" si="2"/>
        <v>393.54724503681467</v>
      </c>
      <c r="P68" s="20">
        <f t="shared" si="2"/>
        <v>305.79101626568655</v>
      </c>
      <c r="S68" s="81" t="s">
        <v>170</v>
      </c>
      <c r="T68" s="18">
        <f>T67+T30-T49</f>
        <v>392.32799510806666</v>
      </c>
      <c r="U68" s="19">
        <f t="shared" si="3"/>
        <v>440.67528756563411</v>
      </c>
      <c r="V68" s="19">
        <f t="shared" si="3"/>
        <v>374.76496786824805</v>
      </c>
      <c r="W68" s="19">
        <f t="shared" si="3"/>
        <v>366.89751514557832</v>
      </c>
      <c r="X68" s="19">
        <f t="shared" si="3"/>
        <v>363.76359206932824</v>
      </c>
      <c r="Y68" s="19">
        <f t="shared" si="3"/>
        <v>375.45051354117766</v>
      </c>
      <c r="Z68" s="19">
        <f t="shared" si="3"/>
        <v>425.43005760095889</v>
      </c>
      <c r="AA68" s="19">
        <f t="shared" si="3"/>
        <v>505.9979966862233</v>
      </c>
      <c r="AB68" s="19">
        <f t="shared" si="3"/>
        <v>412.92701032800255</v>
      </c>
      <c r="AC68" s="19">
        <f t="shared" si="3"/>
        <v>407.14883965616627</v>
      </c>
      <c r="AD68" s="19">
        <f t="shared" si="3"/>
        <v>412.76378516778118</v>
      </c>
      <c r="AE68" s="19">
        <f t="shared" si="3"/>
        <v>354.49240296875485</v>
      </c>
      <c r="AF68" s="19">
        <f t="shared" si="3"/>
        <v>312.70676195208597</v>
      </c>
      <c r="AG68" s="20">
        <f t="shared" si="3"/>
        <v>242.97697350552005</v>
      </c>
    </row>
    <row r="69" spans="2:33" ht="16.5" thickBot="1">
      <c r="B69" s="82" t="s">
        <v>164</v>
      </c>
      <c r="C69" s="18">
        <f>C68+C31-C50</f>
        <v>455.63129698853777</v>
      </c>
      <c r="D69" s="19">
        <f t="shared" si="2"/>
        <v>511.77957048163324</v>
      </c>
      <c r="E69" s="19">
        <f t="shared" si="2"/>
        <v>435.23442248530637</v>
      </c>
      <c r="F69" s="19">
        <f t="shared" si="2"/>
        <v>426.09753260560609</v>
      </c>
      <c r="G69" s="19">
        <f t="shared" si="2"/>
        <v>422.45794161618198</v>
      </c>
      <c r="H69" s="19">
        <f t="shared" si="2"/>
        <v>436.03058301424284</v>
      </c>
      <c r="I69" s="19">
        <f t="shared" si="2"/>
        <v>494.07447681433047</v>
      </c>
      <c r="J69" s="19">
        <f t="shared" si="2"/>
        <v>587.64229516744331</v>
      </c>
      <c r="K69" s="19">
        <f t="shared" si="2"/>
        <v>479.55402526277339</v>
      </c>
      <c r="L69" s="19">
        <f t="shared" si="2"/>
        <v>472.84352937602273</v>
      </c>
      <c r="M69" s="19">
        <f t="shared" si="2"/>
        <v>479.36446323207423</v>
      </c>
      <c r="N69" s="19">
        <f t="shared" si="2"/>
        <v>411.69081827246879</v>
      </c>
      <c r="O69" s="19">
        <f t="shared" si="2"/>
        <v>363.16293841347994</v>
      </c>
      <c r="P69" s="20">
        <f t="shared" si="2"/>
        <v>282.18203889879226</v>
      </c>
      <c r="S69" s="82" t="s">
        <v>169</v>
      </c>
      <c r="T69" s="18">
        <f t="shared" ref="T69:T77" si="6">T68+T31-T50</f>
        <v>398.32717985432083</v>
      </c>
      <c r="U69" s="19">
        <f t="shared" si="3"/>
        <v>447.41376276031582</v>
      </c>
      <c r="V69" s="19">
        <f t="shared" si="3"/>
        <v>380.49559200595797</v>
      </c>
      <c r="W69" s="19">
        <f t="shared" si="3"/>
        <v>372.50783611105931</v>
      </c>
      <c r="X69" s="19">
        <f t="shared" si="3"/>
        <v>369.3259914392325</v>
      </c>
      <c r="Y69" s="19">
        <f t="shared" si="3"/>
        <v>381.19162052791995</v>
      </c>
      <c r="Z69" s="19">
        <f t="shared" si="3"/>
        <v>431.93541420049155</v>
      </c>
      <c r="AA69" s="19">
        <f t="shared" si="3"/>
        <v>513.73533763870626</v>
      </c>
      <c r="AB69" s="19">
        <f t="shared" si="3"/>
        <v>419.24117972851582</v>
      </c>
      <c r="AC69" s="19">
        <f t="shared" si="3"/>
        <v>413.3746536148351</v>
      </c>
      <c r="AD69" s="19">
        <f t="shared" si="3"/>
        <v>419.07545865185818</v>
      </c>
      <c r="AE69" s="19">
        <f t="shared" si="3"/>
        <v>359.9130342850782</v>
      </c>
      <c r="AF69" s="19">
        <f t="shared" si="3"/>
        <v>317.48843866072042</v>
      </c>
      <c r="AG69" s="20">
        <f t="shared" si="3"/>
        <v>246.69239471257362</v>
      </c>
    </row>
    <row r="70" spans="2:33">
      <c r="B70" s="81" t="s">
        <v>165</v>
      </c>
      <c r="C70" s="18">
        <f t="shared" si="4"/>
        <v>431.64153688648645</v>
      </c>
      <c r="D70" s="19">
        <f t="shared" si="2"/>
        <v>484.83350860631367</v>
      </c>
      <c r="E70" s="19">
        <f t="shared" si="2"/>
        <v>412.31859239947266</v>
      </c>
      <c r="F70" s="19">
        <f t="shared" si="2"/>
        <v>403.6627752593792</v>
      </c>
      <c r="G70" s="19">
        <f t="shared" si="2"/>
        <v>400.21481490481921</v>
      </c>
      <c r="H70" s="19">
        <f t="shared" si="2"/>
        <v>413.07283372703262</v>
      </c>
      <c r="I70" s="19">
        <f t="shared" si="2"/>
        <v>468.06061813152695</v>
      </c>
      <c r="J70" s="19">
        <f t="shared" si="2"/>
        <v>556.70193224667491</v>
      </c>
      <c r="K70" s="19">
        <f t="shared" si="2"/>
        <v>454.30469296697987</v>
      </c>
      <c r="L70" s="19">
        <f t="shared" si="2"/>
        <v>447.94751606325991</v>
      </c>
      <c r="M70" s="19">
        <f t="shared" si="2"/>
        <v>454.12511169851319</v>
      </c>
      <c r="N70" s="19">
        <f t="shared" si="2"/>
        <v>390.01459885591237</v>
      </c>
      <c r="O70" s="19">
        <f t="shared" si="2"/>
        <v>344.04179412844502</v>
      </c>
      <c r="P70" s="20">
        <f t="shared" si="2"/>
        <v>267.32467623948389</v>
      </c>
      <c r="S70" s="81" t="s">
        <v>168</v>
      </c>
      <c r="T70" s="18">
        <f t="shared" si="6"/>
        <v>431.21109042505475</v>
      </c>
      <c r="U70" s="19">
        <f t="shared" si="3"/>
        <v>484.35001744448437</v>
      </c>
      <c r="V70" s="19">
        <f t="shared" si="3"/>
        <v>411.90741538356036</v>
      </c>
      <c r="W70" s="19">
        <f t="shared" si="3"/>
        <v>403.26023009545594</v>
      </c>
      <c r="X70" s="19">
        <f t="shared" si="3"/>
        <v>399.81570815496622</v>
      </c>
      <c r="Y70" s="19">
        <f t="shared" si="3"/>
        <v>412.66090455804232</v>
      </c>
      <c r="Z70" s="19">
        <f t="shared" si="3"/>
        <v>467.59385342147715</v>
      </c>
      <c r="AA70" s="19">
        <f t="shared" si="3"/>
        <v>556.1467716415666</v>
      </c>
      <c r="AB70" s="19">
        <f t="shared" si="3"/>
        <v>453.85164609639838</v>
      </c>
      <c r="AC70" s="19">
        <f t="shared" si="3"/>
        <v>447.50080876862057</v>
      </c>
      <c r="AD70" s="19">
        <f t="shared" si="3"/>
        <v>453.67224391199795</v>
      </c>
      <c r="AE70" s="19">
        <f t="shared" si="3"/>
        <v>389.62566408101759</v>
      </c>
      <c r="AF70" s="19">
        <f t="shared" si="3"/>
        <v>343.6987048744881</v>
      </c>
      <c r="AG70" s="20">
        <f t="shared" si="3"/>
        <v>267.05809169859225</v>
      </c>
    </row>
    <row r="71" spans="2:33" ht="16.5" thickBot="1">
      <c r="B71" s="82" t="s">
        <v>166</v>
      </c>
      <c r="C71" s="18">
        <f t="shared" si="4"/>
        <v>423.63179818219095</v>
      </c>
      <c r="D71" s="19">
        <f t="shared" si="2"/>
        <v>475.83671523226769</v>
      </c>
      <c r="E71" s="19">
        <f t="shared" si="2"/>
        <v>404.66741913226417</v>
      </c>
      <c r="F71" s="19">
        <f t="shared" si="2"/>
        <v>396.17222331250144</v>
      </c>
      <c r="G71" s="19">
        <f t="shared" si="2"/>
        <v>392.7882448946707</v>
      </c>
      <c r="H71" s="19">
        <f t="shared" si="2"/>
        <v>405.40766441116449</v>
      </c>
      <c r="I71" s="19">
        <f t="shared" si="2"/>
        <v>459.37507022052853</v>
      </c>
      <c r="J71" s="19">
        <f t="shared" si="2"/>
        <v>546.37151537892817</v>
      </c>
      <c r="K71" s="19">
        <f t="shared" si="2"/>
        <v>445.87440632439092</v>
      </c>
      <c r="L71" s="19">
        <f t="shared" si="2"/>
        <v>439.63519611651554</v>
      </c>
      <c r="M71" s="19">
        <f t="shared" si="2"/>
        <v>445.69815744846221</v>
      </c>
      <c r="N71" s="19">
        <f t="shared" si="2"/>
        <v>382.77730874192127</v>
      </c>
      <c r="O71" s="19">
        <f t="shared" si="2"/>
        <v>337.65759650417755</v>
      </c>
      <c r="P71" s="20">
        <f t="shared" si="2"/>
        <v>262.36407670744268</v>
      </c>
      <c r="S71" s="82" t="s">
        <v>167</v>
      </c>
      <c r="T71" s="18">
        <f t="shared" si="6"/>
        <v>485.8258071531265</v>
      </c>
      <c r="U71" s="19">
        <f t="shared" si="3"/>
        <v>545.69500505575422</v>
      </c>
      <c r="V71" s="19">
        <f t="shared" si="3"/>
        <v>464.07723965034887</v>
      </c>
      <c r="W71" s="19">
        <f t="shared" si="3"/>
        <v>454.33485160542421</v>
      </c>
      <c r="X71" s="19">
        <f t="shared" si="3"/>
        <v>450.4540663261181</v>
      </c>
      <c r="Y71" s="19">
        <f t="shared" si="3"/>
        <v>464.92616143019688</v>
      </c>
      <c r="Z71" s="19">
        <f t="shared" si="3"/>
        <v>526.81660166579661</v>
      </c>
      <c r="AA71" s="19">
        <f t="shared" si="3"/>
        <v>626.58512322128968</v>
      </c>
      <c r="AB71" s="19">
        <f t="shared" si="3"/>
        <v>511.33388539523179</v>
      </c>
      <c r="AC71" s="19">
        <f t="shared" si="3"/>
        <v>504.17868753651135</v>
      </c>
      <c r="AD71" s="19">
        <f t="shared" si="3"/>
        <v>511.13176116193472</v>
      </c>
      <c r="AE71" s="19">
        <f t="shared" si="3"/>
        <v>438.97340987483784</v>
      </c>
      <c r="AF71" s="19">
        <f t="shared" si="3"/>
        <v>387.22960615075698</v>
      </c>
      <c r="AG71" s="20">
        <f t="shared" si="3"/>
        <v>300.88213368619734</v>
      </c>
    </row>
    <row r="72" spans="2:33">
      <c r="B72" s="81" t="s">
        <v>167</v>
      </c>
      <c r="C72" s="18">
        <f t="shared" si="4"/>
        <v>367.00122937624047</v>
      </c>
      <c r="D72" s="19">
        <f t="shared" si="2"/>
        <v>412.2274584248517</v>
      </c>
      <c r="E72" s="19">
        <f t="shared" si="2"/>
        <v>350.57198479274751</v>
      </c>
      <c r="F72" s="19">
        <f t="shared" si="2"/>
        <v>343.21241612244677</v>
      </c>
      <c r="G72" s="19">
        <f t="shared" si="2"/>
        <v>340.28080370606148</v>
      </c>
      <c r="H72" s="19">
        <f t="shared" si="2"/>
        <v>351.2132750088316</v>
      </c>
      <c r="I72" s="19">
        <f t="shared" si="2"/>
        <v>397.96638552431068</v>
      </c>
      <c r="J72" s="19">
        <f t="shared" si="2"/>
        <v>473.33325472888384</v>
      </c>
      <c r="K72" s="19">
        <f t="shared" si="2"/>
        <v>386.2704734881064</v>
      </c>
      <c r="L72" s="19">
        <f t="shared" si="2"/>
        <v>380.865313095396</v>
      </c>
      <c r="M72" s="19">
        <f t="shared" si="2"/>
        <v>386.11778534141962</v>
      </c>
      <c r="N72" s="19">
        <f t="shared" si="2"/>
        <v>331.60811697425481</v>
      </c>
      <c r="O72" s="19">
        <f t="shared" si="2"/>
        <v>292.51995142245016</v>
      </c>
      <c r="P72" s="20">
        <f t="shared" si="2"/>
        <v>227.29157515787625</v>
      </c>
      <c r="S72" s="81" t="s">
        <v>166</v>
      </c>
      <c r="T72" s="18">
        <f t="shared" si="6"/>
        <v>496.02704173777067</v>
      </c>
      <c r="U72" s="19">
        <f t="shared" si="3"/>
        <v>557.15335633367999</v>
      </c>
      <c r="V72" s="19">
        <f t="shared" si="3"/>
        <v>473.82180388996574</v>
      </c>
      <c r="W72" s="19">
        <f t="shared" si="3"/>
        <v>463.87484790238011</v>
      </c>
      <c r="X72" s="19">
        <f t="shared" si="3"/>
        <v>459.91257497786467</v>
      </c>
      <c r="Y72" s="19">
        <f t="shared" si="3"/>
        <v>474.68855109220328</v>
      </c>
      <c r="Z72" s="19">
        <f t="shared" si="3"/>
        <v>537.87854950296446</v>
      </c>
      <c r="AA72" s="19">
        <f t="shared" si="3"/>
        <v>639.74198260404762</v>
      </c>
      <c r="AB72" s="19">
        <f t="shared" si="3"/>
        <v>522.0707314811998</v>
      </c>
      <c r="AC72" s="19">
        <f t="shared" si="3"/>
        <v>514.76529077662474</v>
      </c>
      <c r="AD72" s="19">
        <f t="shared" si="3"/>
        <v>521.86436309971486</v>
      </c>
      <c r="AE72" s="19">
        <f t="shared" si="3"/>
        <v>448.19085090950676</v>
      </c>
      <c r="AF72" s="19">
        <f t="shared" si="3"/>
        <v>395.36054524930142</v>
      </c>
      <c r="AG72" s="20">
        <f t="shared" si="3"/>
        <v>307.19997267883394</v>
      </c>
    </row>
    <row r="73" spans="2:33" ht="16.5" thickBot="1">
      <c r="B73" s="82" t="s">
        <v>168</v>
      </c>
      <c r="C73" s="18">
        <f t="shared" si="4"/>
        <v>342.18651608518985</v>
      </c>
      <c r="D73" s="19">
        <f t="shared" si="2"/>
        <v>384.3547828785135</v>
      </c>
      <c r="E73" s="19">
        <f t="shared" si="2"/>
        <v>326.86813152421183</v>
      </c>
      <c r="F73" s="19">
        <f t="shared" si="2"/>
        <v>320.00617858890388</v>
      </c>
      <c r="G73" s="19">
        <f t="shared" si="2"/>
        <v>317.27278654828336</v>
      </c>
      <c r="H73" s="19">
        <f t="shared" si="2"/>
        <v>327.46606103309739</v>
      </c>
      <c r="I73" s="19">
        <f t="shared" si="2"/>
        <v>371.0579695142448</v>
      </c>
      <c r="J73" s="19">
        <f t="shared" si="2"/>
        <v>441.32892322519899</v>
      </c>
      <c r="K73" s="19">
        <f t="shared" si="2"/>
        <v>360.15287418551867</v>
      </c>
      <c r="L73" s="19">
        <f t="shared" si="2"/>
        <v>355.11318261062451</v>
      </c>
      <c r="M73" s="19">
        <f t="shared" si="2"/>
        <v>360.01051001673625</v>
      </c>
      <c r="N73" s="19">
        <f t="shared" si="2"/>
        <v>309.1865017614474</v>
      </c>
      <c r="O73" s="19">
        <f t="shared" si="2"/>
        <v>272.7412745531729</v>
      </c>
      <c r="P73" s="20">
        <f t="shared" si="2"/>
        <v>211.92330164936487</v>
      </c>
      <c r="S73" s="82" t="s">
        <v>165</v>
      </c>
      <c r="T73" s="18">
        <f t="shared" si="6"/>
        <v>520.78084622851566</v>
      </c>
      <c r="U73" s="19">
        <f t="shared" si="3"/>
        <v>584.95761717746143</v>
      </c>
      <c r="V73" s="19">
        <f t="shared" si="3"/>
        <v>497.46747501276081</v>
      </c>
      <c r="W73" s="19">
        <f t="shared" si="3"/>
        <v>487.02412470979243</v>
      </c>
      <c r="X73" s="19">
        <f t="shared" si="3"/>
        <v>482.86411795010383</v>
      </c>
      <c r="Y73" s="19">
        <f t="shared" si="3"/>
        <v>498.37747649144251</v>
      </c>
      <c r="Z73" s="19">
        <f t="shared" si="3"/>
        <v>564.72091762772629</v>
      </c>
      <c r="AA73" s="19">
        <f t="shared" si="3"/>
        <v>671.66775807472038</v>
      </c>
      <c r="AB73" s="19">
        <f t="shared" si="3"/>
        <v>548.1242239927185</v>
      </c>
      <c r="AC73" s="19">
        <f t="shared" si="3"/>
        <v>540.45421152954293</v>
      </c>
      <c r="AD73" s="19">
        <f t="shared" si="3"/>
        <v>547.90755697398504</v>
      </c>
      <c r="AE73" s="19">
        <f t="shared" si="3"/>
        <v>470.55743128602523</v>
      </c>
      <c r="AF73" s="19">
        <f t="shared" si="3"/>
        <v>415.09067449017726</v>
      </c>
      <c r="AG73" s="20">
        <f t="shared" si="3"/>
        <v>322.53052408710607</v>
      </c>
    </row>
    <row r="74" spans="2:33">
      <c r="B74" s="81" t="s">
        <v>169</v>
      </c>
      <c r="C74" s="18">
        <f t="shared" si="4"/>
        <v>337.6402274160049</v>
      </c>
      <c r="D74" s="19">
        <f t="shared" si="2"/>
        <v>379.24824678720648</v>
      </c>
      <c r="E74" s="19">
        <f t="shared" si="2"/>
        <v>322.52536285036899</v>
      </c>
      <c r="F74" s="19">
        <f t="shared" si="2"/>
        <v>315.7545777940154</v>
      </c>
      <c r="G74" s="19">
        <f t="shared" si="2"/>
        <v>313.05750158899497</v>
      </c>
      <c r="H74" s="19">
        <f t="shared" si="2"/>
        <v>323.11534827021705</v>
      </c>
      <c r="I74" s="19">
        <f t="shared" si="2"/>
        <v>366.12809483153404</v>
      </c>
      <c r="J74" s="19">
        <f t="shared" si="2"/>
        <v>435.46542893560286</v>
      </c>
      <c r="K74" s="19">
        <f t="shared" si="2"/>
        <v>355.36788455525408</v>
      </c>
      <c r="L74" s="19">
        <f t="shared" si="2"/>
        <v>350.39515030224754</v>
      </c>
      <c r="M74" s="19">
        <f t="shared" si="2"/>
        <v>355.22741183624248</v>
      </c>
      <c r="N74" s="19">
        <f t="shared" si="2"/>
        <v>305.07865114914262</v>
      </c>
      <c r="O74" s="19">
        <f t="shared" si="2"/>
        <v>269.11763508220247</v>
      </c>
      <c r="P74" s="20">
        <f t="shared" si="2"/>
        <v>209.10768952049622</v>
      </c>
      <c r="S74" s="81" t="s">
        <v>164</v>
      </c>
      <c r="T74" s="18">
        <f t="shared" si="6"/>
        <v>575.38352472315864</v>
      </c>
      <c r="U74" s="19">
        <f t="shared" si="3"/>
        <v>646.28908306190021</v>
      </c>
      <c r="V74" s="19">
        <f t="shared" si="3"/>
        <v>549.6257999518939</v>
      </c>
      <c r="W74" s="19">
        <f t="shared" si="3"/>
        <v>538.08748829785145</v>
      </c>
      <c r="X74" s="19">
        <f t="shared" si="3"/>
        <v>533.4913143609715</v>
      </c>
      <c r="Y74" s="19">
        <f t="shared" si="3"/>
        <v>550.63121300058617</v>
      </c>
      <c r="Z74" s="19">
        <f t="shared" si="3"/>
        <v>623.93061193145297</v>
      </c>
      <c r="AA74" s="19">
        <f t="shared" si="3"/>
        <v>742.09058355874163</v>
      </c>
      <c r="AB74" s="19">
        <f t="shared" si="3"/>
        <v>605.59379299577563</v>
      </c>
      <c r="AC74" s="19">
        <f t="shared" si="3"/>
        <v>597.11959729965349</v>
      </c>
      <c r="AD74" s="19">
        <f t="shared" si="3"/>
        <v>605.35440893656335</v>
      </c>
      <c r="AE74" s="19">
        <f t="shared" si="3"/>
        <v>519.89429979770171</v>
      </c>
      <c r="AF74" s="19">
        <f t="shared" si="3"/>
        <v>458.61198063930232</v>
      </c>
      <c r="AG74" s="20">
        <f t="shared" si="3"/>
        <v>356.34711054372349</v>
      </c>
    </row>
    <row r="75" spans="2:33" ht="16.5" thickBot="1">
      <c r="B75" s="82" t="s">
        <v>170</v>
      </c>
      <c r="C75" s="18">
        <f t="shared" si="4"/>
        <v>324.11035711242874</v>
      </c>
      <c r="D75" s="19">
        <f t="shared" si="2"/>
        <v>364.05106595612187</v>
      </c>
      <c r="E75" s="19">
        <f t="shared" si="2"/>
        <v>309.60117321107344</v>
      </c>
      <c r="F75" s="19">
        <f t="shared" si="2"/>
        <v>303.10170607310579</v>
      </c>
      <c r="G75" s="19">
        <f t="shared" si="2"/>
        <v>300.51270671524316</v>
      </c>
      <c r="H75" s="19">
        <f t="shared" si="2"/>
        <v>310.16751682060573</v>
      </c>
      <c r="I75" s="19">
        <f t="shared" si="2"/>
        <v>351.45666282985292</v>
      </c>
      <c r="J75" s="19">
        <f t="shared" si="2"/>
        <v>418.01552132157138</v>
      </c>
      <c r="K75" s="19">
        <f t="shared" si="2"/>
        <v>341.1276341417132</v>
      </c>
      <c r="L75" s="19">
        <f t="shared" si="2"/>
        <v>336.35416657565395</v>
      </c>
      <c r="M75" s="19">
        <f t="shared" si="2"/>
        <v>340.99279042515769</v>
      </c>
      <c r="N75" s="19">
        <f t="shared" si="2"/>
        <v>292.85358361489955</v>
      </c>
      <c r="O75" s="19">
        <f t="shared" si="2"/>
        <v>258.33359217673103</v>
      </c>
      <c r="P75" s="20">
        <f t="shared" si="2"/>
        <v>200.72835646428743</v>
      </c>
      <c r="S75" s="82" t="s">
        <v>163</v>
      </c>
      <c r="T75" s="18">
        <f t="shared" si="6"/>
        <v>608.12645769936034</v>
      </c>
      <c r="U75" s="19">
        <f t="shared" si="3"/>
        <v>683.06698722613271</v>
      </c>
      <c r="V75" s="19">
        <f t="shared" si="3"/>
        <v>580.90295676390872</v>
      </c>
      <c r="W75" s="19">
        <f t="shared" si="3"/>
        <v>568.708042776095</v>
      </c>
      <c r="X75" s="19">
        <f t="shared" si="3"/>
        <v>563.85031770211106</v>
      </c>
      <c r="Y75" s="19">
        <f t="shared" si="3"/>
        <v>581.96558412384263</v>
      </c>
      <c r="Z75" s="19">
        <f t="shared" si="3"/>
        <v>659.43617879331521</v>
      </c>
      <c r="AA75" s="19">
        <f t="shared" si="3"/>
        <v>784.32019423698466</v>
      </c>
      <c r="AB75" s="19">
        <f t="shared" si="3"/>
        <v>640.05587980023358</v>
      </c>
      <c r="AC75" s="19">
        <f t="shared" si="3"/>
        <v>631.09944919507598</v>
      </c>
      <c r="AD75" s="19">
        <f t="shared" si="3"/>
        <v>639.80287328596376</v>
      </c>
      <c r="AE75" s="19">
        <f t="shared" si="3"/>
        <v>549.47954769157536</v>
      </c>
      <c r="AF75" s="19">
        <f t="shared" si="3"/>
        <v>484.70988003845656</v>
      </c>
      <c r="AG75" s="20">
        <f t="shared" si="3"/>
        <v>376.62549714231466</v>
      </c>
    </row>
    <row r="76" spans="2:33">
      <c r="B76" s="81" t="s">
        <v>171</v>
      </c>
      <c r="C76" s="18">
        <f t="shared" si="4"/>
        <v>265.51570998748258</v>
      </c>
      <c r="D76" s="19">
        <f t="shared" si="2"/>
        <v>298.23569388592318</v>
      </c>
      <c r="E76" s="19">
        <f t="shared" si="2"/>
        <v>253.62958484409216</v>
      </c>
      <c r="F76" s="19">
        <f t="shared" si="2"/>
        <v>248.30513101591913</v>
      </c>
      <c r="G76" s="19">
        <f t="shared" si="2"/>
        <v>246.18418675241455</v>
      </c>
      <c r="H76" s="19">
        <f t="shared" si="2"/>
        <v>254.0935414017336</v>
      </c>
      <c r="I76" s="19">
        <f t="shared" si="2"/>
        <v>287.91818377075009</v>
      </c>
      <c r="J76" s="19">
        <f t="shared" si="2"/>
        <v>342.44412587834745</v>
      </c>
      <c r="K76" s="19">
        <f t="shared" si="2"/>
        <v>279.45649988614298</v>
      </c>
      <c r="L76" s="19">
        <f t="shared" si="2"/>
        <v>275.54600890030633</v>
      </c>
      <c r="M76" s="19">
        <f t="shared" si="2"/>
        <v>279.34603403908523</v>
      </c>
      <c r="N76" s="19">
        <f t="shared" si="2"/>
        <v>239.90972663954676</v>
      </c>
      <c r="O76" s="19">
        <f t="shared" si="2"/>
        <v>211.63046979281864</v>
      </c>
      <c r="P76" s="20">
        <f t="shared" si="2"/>
        <v>164.43945992984126</v>
      </c>
      <c r="S76" s="81" t="s">
        <v>162</v>
      </c>
      <c r="T76" s="18">
        <f t="shared" si="6"/>
        <v>655.80841529084569</v>
      </c>
      <c r="U76" s="19">
        <f t="shared" si="3"/>
        <v>736.62487918215368</v>
      </c>
      <c r="V76" s="19">
        <f t="shared" si="3"/>
        <v>626.4503750656437</v>
      </c>
      <c r="W76" s="19">
        <f t="shared" si="3"/>
        <v>613.29928269710535</v>
      </c>
      <c r="X76" s="19">
        <f t="shared" si="3"/>
        <v>608.06067328889094</v>
      </c>
      <c r="Y76" s="19">
        <f t="shared" si="3"/>
        <v>627.59632087369062</v>
      </c>
      <c r="Z76" s="19">
        <f t="shared" si="3"/>
        <v>711.14122716511054</v>
      </c>
      <c r="AA76" s="19">
        <f t="shared" si="3"/>
        <v>845.81714403462342</v>
      </c>
      <c r="AB76" s="19">
        <f t="shared" si="3"/>
        <v>690.24135838025495</v>
      </c>
      <c r="AC76" s="19">
        <f t="shared" si="3"/>
        <v>680.58267228385989</v>
      </c>
      <c r="AD76" s="19">
        <f t="shared" si="3"/>
        <v>689.968514140244</v>
      </c>
      <c r="AE76" s="19">
        <f t="shared" si="3"/>
        <v>592.56312045625657</v>
      </c>
      <c r="AF76" s="19">
        <f t="shared" si="3"/>
        <v>522.71499501339724</v>
      </c>
      <c r="AG76" s="20">
        <f t="shared" si="3"/>
        <v>406.15593568062593</v>
      </c>
    </row>
    <row r="77" spans="2:33" ht="16.5" thickBot="1">
      <c r="B77" s="82" t="s">
        <v>172</v>
      </c>
      <c r="C77" s="18">
        <f t="shared" si="4"/>
        <v>236.3631985392436</v>
      </c>
      <c r="D77" s="19">
        <f t="shared" si="2"/>
        <v>265.49066542529931</v>
      </c>
      <c r="E77" s="19">
        <f t="shared" si="2"/>
        <v>225.7821200890761</v>
      </c>
      <c r="F77" s="19">
        <f t="shared" si="2"/>
        <v>221.04226896177053</v>
      </c>
      <c r="G77" s="19">
        <f t="shared" si="2"/>
        <v>219.15419548367376</v>
      </c>
      <c r="H77" s="19">
        <f t="shared" si="2"/>
        <v>226.19513616240954</v>
      </c>
      <c r="I77" s="19">
        <f t="shared" si="2"/>
        <v>256.30597465164124</v>
      </c>
      <c r="J77" s="19">
        <f t="shared" si="2"/>
        <v>304.8451969843797</v>
      </c>
      <c r="K77" s="19">
        <f t="shared" si="2"/>
        <v>248.77334817131734</v>
      </c>
      <c r="L77" s="19">
        <f t="shared" si="2"/>
        <v>245.29221269607632</v>
      </c>
      <c r="M77" s="19">
        <f t="shared" si="2"/>
        <v>248.67501101099953</v>
      </c>
      <c r="N77" s="19">
        <f t="shared" si="2"/>
        <v>213.56864477763739</v>
      </c>
      <c r="O77" s="19">
        <f t="shared" si="2"/>
        <v>188.3943317363466</v>
      </c>
      <c r="P77" s="20">
        <f t="shared" si="2"/>
        <v>146.38469684869276</v>
      </c>
      <c r="S77" s="82" t="s">
        <v>161</v>
      </c>
      <c r="T77" s="18">
        <f t="shared" si="6"/>
        <v>593.56415575696155</v>
      </c>
      <c r="U77" s="19">
        <f t="shared" si="3"/>
        <v>666.71014632744402</v>
      </c>
      <c r="V77" s="19">
        <f t="shared" si="3"/>
        <v>566.99255351056058</v>
      </c>
      <c r="W77" s="19">
        <f t="shared" si="3"/>
        <v>555.08966105445904</v>
      </c>
      <c r="X77" s="19">
        <f t="shared" si="3"/>
        <v>550.34825991011985</v>
      </c>
      <c r="Y77" s="19">
        <f t="shared" si="3"/>
        <v>568.02973501088479</v>
      </c>
      <c r="Z77" s="19">
        <f t="shared" si="3"/>
        <v>643.64520534404403</v>
      </c>
      <c r="AA77" s="19">
        <f t="shared" si="3"/>
        <v>765.53872642976376</v>
      </c>
      <c r="AB77" s="19">
        <f t="shared" si="3"/>
        <v>624.72899036194076</v>
      </c>
      <c r="AC77" s="19">
        <f t="shared" si="3"/>
        <v>615.98703200206569</v>
      </c>
      <c r="AD77" s="19">
        <f t="shared" si="3"/>
        <v>624.48204238567337</v>
      </c>
      <c r="AE77" s="19">
        <f t="shared" si="3"/>
        <v>536.3216148581165</v>
      </c>
      <c r="AF77" s="19">
        <f t="shared" si="3"/>
        <v>473.10293293359399</v>
      </c>
      <c r="AG77" s="20">
        <f t="shared" si="3"/>
        <v>367.60675747204721</v>
      </c>
    </row>
    <row r="78" spans="2:33">
      <c r="B78" s="81" t="s">
        <v>173</v>
      </c>
      <c r="C78" s="18">
        <f t="shared" si="4"/>
        <v>236.3631985392436</v>
      </c>
      <c r="D78" s="19">
        <f t="shared" si="2"/>
        <v>265.49066542529931</v>
      </c>
      <c r="E78" s="19">
        <f t="shared" si="2"/>
        <v>225.7821200890761</v>
      </c>
      <c r="F78" s="19">
        <f t="shared" si="2"/>
        <v>221.04226896177053</v>
      </c>
      <c r="G78" s="19">
        <f t="shared" si="2"/>
        <v>219.15419548367376</v>
      </c>
      <c r="H78" s="19">
        <f t="shared" si="2"/>
        <v>226.19513616240954</v>
      </c>
      <c r="I78" s="19">
        <f t="shared" si="2"/>
        <v>256.30597465164124</v>
      </c>
      <c r="J78" s="19">
        <f t="shared" si="2"/>
        <v>304.8451969843797</v>
      </c>
      <c r="K78" s="19">
        <f t="shared" si="2"/>
        <v>248.77334817131734</v>
      </c>
      <c r="L78" s="19">
        <f t="shared" si="2"/>
        <v>245.29221269607632</v>
      </c>
      <c r="M78" s="19">
        <f t="shared" si="2"/>
        <v>248.67501101099953</v>
      </c>
      <c r="N78" s="19">
        <f t="shared" si="2"/>
        <v>213.56864477763739</v>
      </c>
      <c r="O78" s="19">
        <f t="shared" si="2"/>
        <v>188.3943317363466</v>
      </c>
      <c r="P78" s="20">
        <f t="shared" si="2"/>
        <v>146.38469684869276</v>
      </c>
      <c r="S78" s="81" t="s">
        <v>160</v>
      </c>
      <c r="T78" s="18">
        <f>T77+T40-T59</f>
        <v>364.49979958187242</v>
      </c>
      <c r="U78" s="19">
        <f t="shared" si="3"/>
        <v>409.41777288697739</v>
      </c>
      <c r="V78" s="19">
        <f t="shared" si="3"/>
        <v>348.18253446496044</v>
      </c>
      <c r="W78" s="19">
        <f t="shared" si="3"/>
        <v>340.87312760032137</v>
      </c>
      <c r="X78" s="19">
        <f t="shared" si="3"/>
        <v>337.9614966500917</v>
      </c>
      <c r="Y78" s="19">
        <f t="shared" si="3"/>
        <v>348.81945373532312</v>
      </c>
      <c r="Z78" s="19">
        <f t="shared" si="3"/>
        <v>395.25390149367286</v>
      </c>
      <c r="AA78" s="19">
        <f t="shared" si="3"/>
        <v>470.10708050582622</v>
      </c>
      <c r="AB78" s="19">
        <f t="shared" si="3"/>
        <v>383.63770718181911</v>
      </c>
      <c r="AC78" s="19">
        <f t="shared" si="3"/>
        <v>378.26938761733345</v>
      </c>
      <c r="AD78" s="19">
        <f t="shared" si="3"/>
        <v>383.48605973649489</v>
      </c>
      <c r="AE78" s="19">
        <f t="shared" si="3"/>
        <v>329.34792175566247</v>
      </c>
      <c r="AF78" s="19">
        <f t="shared" si="3"/>
        <v>290.52617575260058</v>
      </c>
      <c r="AG78" s="20">
        <f t="shared" si="3"/>
        <v>225.74238710999126</v>
      </c>
    </row>
    <row r="79" spans="2:33" ht="16.5" thickBot="1">
      <c r="B79" s="82" t="s">
        <v>174</v>
      </c>
      <c r="C79" s="21">
        <f>C78+C41-C60</f>
        <v>0</v>
      </c>
      <c r="D79" s="22">
        <f t="shared" si="2"/>
        <v>0</v>
      </c>
      <c r="E79" s="22">
        <f t="shared" si="2"/>
        <v>0</v>
      </c>
      <c r="F79" s="22">
        <f t="shared" si="2"/>
        <v>0</v>
      </c>
      <c r="G79" s="22">
        <f t="shared" si="2"/>
        <v>0</v>
      </c>
      <c r="H79" s="22">
        <f t="shared" si="2"/>
        <v>-3.4106051316484809E-13</v>
      </c>
      <c r="I79" s="22">
        <f t="shared" si="2"/>
        <v>0</v>
      </c>
      <c r="J79" s="22">
        <f t="shared" si="2"/>
        <v>0</v>
      </c>
      <c r="K79" s="22">
        <f t="shared" si="2"/>
        <v>0</v>
      </c>
      <c r="L79" s="22">
        <f t="shared" si="2"/>
        <v>-2.2737367544323206E-13</v>
      </c>
      <c r="M79" s="22">
        <f t="shared" si="2"/>
        <v>-4.2632564145606011E-13</v>
      </c>
      <c r="N79" s="22">
        <f t="shared" si="2"/>
        <v>0</v>
      </c>
      <c r="O79" s="22">
        <f t="shared" si="2"/>
        <v>0</v>
      </c>
      <c r="P79" s="23">
        <f t="shared" si="2"/>
        <v>0</v>
      </c>
      <c r="S79" s="82" t="s">
        <v>159</v>
      </c>
      <c r="T79" s="21">
        <f>T78+T41-T60</f>
        <v>0</v>
      </c>
      <c r="U79" s="22">
        <f t="shared" si="3"/>
        <v>0</v>
      </c>
      <c r="V79" s="22">
        <f t="shared" si="3"/>
        <v>0</v>
      </c>
      <c r="W79" s="22">
        <f t="shared" si="3"/>
        <v>0</v>
      </c>
      <c r="X79" s="22">
        <f t="shared" si="3"/>
        <v>0</v>
      </c>
      <c r="Y79" s="22">
        <f t="shared" si="3"/>
        <v>0</v>
      </c>
      <c r="Z79" s="22">
        <f t="shared" si="3"/>
        <v>0</v>
      </c>
      <c r="AA79" s="22">
        <f t="shared" si="3"/>
        <v>0</v>
      </c>
      <c r="AB79" s="22">
        <f t="shared" si="3"/>
        <v>0</v>
      </c>
      <c r="AC79" s="22">
        <f t="shared" si="3"/>
        <v>0</v>
      </c>
      <c r="AD79" s="22">
        <f t="shared" si="3"/>
        <v>0</v>
      </c>
      <c r="AE79" s="22">
        <f t="shared" si="3"/>
        <v>0</v>
      </c>
      <c r="AF79" s="22">
        <f t="shared" si="3"/>
        <v>0</v>
      </c>
      <c r="AG79" s="23">
        <f t="shared" si="3"/>
        <v>0</v>
      </c>
    </row>
    <row r="81" spans="2:33">
      <c r="B81" s="27" t="s">
        <v>43</v>
      </c>
      <c r="C81" s="11">
        <f>MAX(C64:C79)</f>
        <v>528.55666035905404</v>
      </c>
      <c r="D81" s="11">
        <f>MAX(D64:D79)</f>
        <v>593.69165902703185</v>
      </c>
      <c r="E81" s="11">
        <f t="shared" ref="E81:P81" si="7">MAX(E64:E79)</f>
        <v>504.89519561673654</v>
      </c>
      <c r="F81" s="11">
        <f t="shared" si="7"/>
        <v>494.29591494220404</v>
      </c>
      <c r="G81" s="11">
        <f t="shared" si="7"/>
        <v>490.07379483948569</v>
      </c>
      <c r="H81" s="11">
        <f t="shared" si="7"/>
        <v>505.81878438920609</v>
      </c>
      <c r="I81" s="11">
        <f t="shared" si="7"/>
        <v>573.15280394401657</v>
      </c>
      <c r="J81" s="11">
        <f t="shared" si="7"/>
        <v>681.69647491806768</v>
      </c>
      <c r="K81" s="11">
        <f t="shared" si="7"/>
        <v>556.3083039508798</v>
      </c>
      <c r="L81" s="11">
        <f t="shared" si="7"/>
        <v>548.52377001149296</v>
      </c>
      <c r="M81" s="11">
        <f t="shared" si="7"/>
        <v>556.08840186219652</v>
      </c>
      <c r="N81" s="11">
        <f t="shared" si="7"/>
        <v>477.58335620227712</v>
      </c>
      <c r="O81" s="11">
        <f t="shared" si="7"/>
        <v>421.28842149936577</v>
      </c>
      <c r="P81" s="11">
        <f t="shared" si="7"/>
        <v>327.3462492138824</v>
      </c>
      <c r="S81" s="27" t="s">
        <v>43</v>
      </c>
      <c r="T81" s="11">
        <f>MAX(T64:T79)</f>
        <v>655.80841529084569</v>
      </c>
      <c r="U81" s="11">
        <f>MAX(U64:U79)</f>
        <v>736.62487918215368</v>
      </c>
      <c r="V81" s="11">
        <f>MAX(V64:V79)</f>
        <v>626.4503750656437</v>
      </c>
      <c r="W81" s="11">
        <f t="shared" ref="W81:AF81" si="8">MAX(W64:W79)</f>
        <v>613.29928269710535</v>
      </c>
      <c r="X81" s="11">
        <f t="shared" si="8"/>
        <v>608.06067328889094</v>
      </c>
      <c r="Y81" s="11">
        <f t="shared" si="8"/>
        <v>627.59632087369062</v>
      </c>
      <c r="Z81" s="11">
        <f t="shared" si="8"/>
        <v>711.14122716511054</v>
      </c>
      <c r="AA81" s="11">
        <f t="shared" si="8"/>
        <v>845.81714403462342</v>
      </c>
      <c r="AB81" s="11">
        <f t="shared" si="8"/>
        <v>690.24135838025495</v>
      </c>
      <c r="AC81" s="11">
        <f t="shared" si="8"/>
        <v>680.58267228385989</v>
      </c>
      <c r="AD81" s="11">
        <f t="shared" si="8"/>
        <v>689.968514140244</v>
      </c>
      <c r="AE81" s="11">
        <f t="shared" si="8"/>
        <v>592.56312045625657</v>
      </c>
      <c r="AF81" s="11">
        <f t="shared" si="8"/>
        <v>522.71499501339724</v>
      </c>
      <c r="AG81" s="11">
        <f>MAX(AG64:AG79)</f>
        <v>406.15593568062593</v>
      </c>
    </row>
    <row r="82" spans="2:33">
      <c r="B82" s="27" t="s">
        <v>42</v>
      </c>
      <c r="C82" s="28">
        <f>SUM(C26:C41)/C81</f>
        <v>1.321441128271978</v>
      </c>
      <c r="D82" s="28">
        <f>SUM(D26:D41)/D81</f>
        <v>1.3214411282719785</v>
      </c>
      <c r="E82" s="28">
        <f t="shared" ref="E82:P82" si="9">SUM(E26:E41)/E81</f>
        <v>1.3214411282719782</v>
      </c>
      <c r="F82" s="28">
        <f t="shared" si="9"/>
        <v>1.3214411282719782</v>
      </c>
      <c r="G82" s="28">
        <f t="shared" si="9"/>
        <v>1.321441128271978</v>
      </c>
      <c r="H82" s="28">
        <f t="shared" si="9"/>
        <v>1.3214411282719776</v>
      </c>
      <c r="I82" s="28">
        <f t="shared" si="9"/>
        <v>1.321441128271978</v>
      </c>
      <c r="J82" s="28">
        <f t="shared" si="9"/>
        <v>1.3214411282719778</v>
      </c>
      <c r="K82" s="28">
        <f t="shared" si="9"/>
        <v>1.321441128271978</v>
      </c>
      <c r="L82" s="28">
        <f t="shared" si="9"/>
        <v>1.3214411282719778</v>
      </c>
      <c r="M82" s="28">
        <f t="shared" si="9"/>
        <v>1.321441128271978</v>
      </c>
      <c r="N82" s="28">
        <f t="shared" si="9"/>
        <v>1.3214411282719782</v>
      </c>
      <c r="O82" s="28">
        <f t="shared" si="9"/>
        <v>1.3214411282719782</v>
      </c>
      <c r="P82" s="28">
        <f t="shared" si="9"/>
        <v>1.3214411282719782</v>
      </c>
      <c r="S82" s="27" t="s">
        <v>42</v>
      </c>
      <c r="T82" s="28">
        <f>SUM(T26:T41)/T81</f>
        <v>1.234124278804279</v>
      </c>
      <c r="U82" s="28">
        <f>SUM(U26:U41)/U81</f>
        <v>1.2341242788042792</v>
      </c>
      <c r="V82" s="28">
        <f t="shared" ref="V82:AG82" si="10">SUM(V26:V41)/V81</f>
        <v>1.2341242788042794</v>
      </c>
      <c r="W82" s="28">
        <f t="shared" si="10"/>
        <v>1.2341242788042792</v>
      </c>
      <c r="X82" s="28">
        <f t="shared" si="10"/>
        <v>1.2341242788042794</v>
      </c>
      <c r="Y82" s="28">
        <f t="shared" si="10"/>
        <v>1.2341242788042794</v>
      </c>
      <c r="Z82" s="28">
        <f t="shared" si="10"/>
        <v>1.2341242788042794</v>
      </c>
      <c r="AA82" s="28">
        <f t="shared" si="10"/>
        <v>1.2341242788042794</v>
      </c>
      <c r="AB82" s="28">
        <f t="shared" si="10"/>
        <v>1.2341242788042794</v>
      </c>
      <c r="AC82" s="28">
        <f t="shared" si="10"/>
        <v>1.2341242788042792</v>
      </c>
      <c r="AD82" s="28">
        <f t="shared" si="10"/>
        <v>1.2341242788042792</v>
      </c>
      <c r="AE82" s="28">
        <f t="shared" si="10"/>
        <v>1.2341242788042797</v>
      </c>
      <c r="AF82" s="28">
        <f t="shared" si="10"/>
        <v>1.2341242788042797</v>
      </c>
      <c r="AG82" s="28">
        <f t="shared" si="10"/>
        <v>1.2341242788042797</v>
      </c>
    </row>
  </sheetData>
  <mergeCells count="20">
    <mergeCell ref="T62:AG62"/>
    <mergeCell ref="S24:S25"/>
    <mergeCell ref="S43:S44"/>
    <mergeCell ref="S62:S63"/>
    <mergeCell ref="B24:B25"/>
    <mergeCell ref="B43:B44"/>
    <mergeCell ref="B62:B63"/>
    <mergeCell ref="C24:P24"/>
    <mergeCell ref="T24:AG24"/>
    <mergeCell ref="C43:P43"/>
    <mergeCell ref="T43:AG43"/>
    <mergeCell ref="C62:P62"/>
    <mergeCell ref="X3:Z3"/>
    <mergeCell ref="B2:E2"/>
    <mergeCell ref="S2:V2"/>
    <mergeCell ref="B3:B4"/>
    <mergeCell ref="C3:E3"/>
    <mergeCell ref="G3:I3"/>
    <mergeCell ref="S3:S4"/>
    <mergeCell ref="T3: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2099-839E-4C51-B5FC-8956929B0157}">
  <dimension ref="A1:K75"/>
  <sheetViews>
    <sheetView zoomScale="70" zoomScaleNormal="70" workbookViewId="0">
      <selection activeCell="H79" sqref="H79"/>
    </sheetView>
  </sheetViews>
  <sheetFormatPr baseColWidth="10" defaultRowHeight="15"/>
  <cols>
    <col min="2" max="10" width="15.7109375" customWidth="1"/>
  </cols>
  <sheetData>
    <row r="1" spans="1:11">
      <c r="A1" s="101"/>
      <c r="B1" s="99"/>
      <c r="G1" s="106" t="s">
        <v>59</v>
      </c>
      <c r="H1" s="106" t="s">
        <v>60</v>
      </c>
      <c r="I1" s="106" t="s">
        <v>61</v>
      </c>
      <c r="J1" s="106" t="s">
        <v>62</v>
      </c>
    </row>
    <row r="2" spans="1:11">
      <c r="G2" s="107"/>
      <c r="H2" s="107"/>
      <c r="I2" s="107"/>
      <c r="J2" s="107"/>
    </row>
    <row r="3" spans="1:11">
      <c r="I3" s="24"/>
      <c r="J3" s="46">
        <v>3</v>
      </c>
      <c r="K3" s="24"/>
    </row>
    <row r="4" spans="1:11">
      <c r="G4" s="47">
        <f>ROUNDDOWN(H4*I4*J3,0)</f>
        <v>144</v>
      </c>
      <c r="H4" s="47">
        <v>20</v>
      </c>
      <c r="I4" s="47">
        <v>2.4</v>
      </c>
    </row>
    <row r="5" spans="1:11">
      <c r="G5" s="47"/>
      <c r="H5" s="47"/>
      <c r="I5" s="47"/>
      <c r="J5" s="47"/>
    </row>
    <row r="6" spans="1:11">
      <c r="G6" s="47"/>
      <c r="H6" s="47"/>
      <c r="I6" s="47"/>
      <c r="J6" s="47"/>
    </row>
    <row r="7" spans="1:11">
      <c r="G7" s="47"/>
      <c r="H7" s="47"/>
      <c r="I7" s="47"/>
      <c r="J7" s="47"/>
    </row>
    <row r="8" spans="1:11">
      <c r="G8" s="47">
        <f>ROUNDDOWN(H8*I8*J3,0)</f>
        <v>216</v>
      </c>
      <c r="H8" s="47">
        <v>30</v>
      </c>
      <c r="I8" s="47">
        <v>2.4</v>
      </c>
      <c r="J8" s="47"/>
    </row>
    <row r="9" spans="1:11">
      <c r="G9" s="47"/>
      <c r="H9" s="47"/>
      <c r="I9" s="47"/>
      <c r="J9" s="47"/>
    </row>
    <row r="10" spans="1:11">
      <c r="G10" s="47"/>
      <c r="H10" s="47"/>
      <c r="I10" s="47"/>
      <c r="J10" s="47"/>
    </row>
    <row r="11" spans="1:11">
      <c r="G11" s="47"/>
      <c r="H11" s="47"/>
      <c r="I11" s="47"/>
      <c r="J11" s="47"/>
    </row>
    <row r="12" spans="1:11">
      <c r="G12" s="47">
        <f>ROUNDDOWN(H12*I12*J3,0)</f>
        <v>288</v>
      </c>
      <c r="H12" s="47">
        <v>40</v>
      </c>
      <c r="I12" s="47">
        <v>2.4</v>
      </c>
      <c r="J12" s="47"/>
    </row>
    <row r="13" spans="1:11">
      <c r="G13" s="47"/>
      <c r="H13" s="47"/>
      <c r="I13" s="47"/>
      <c r="J13" s="47"/>
    </row>
    <row r="14" spans="1:11">
      <c r="G14" s="47"/>
      <c r="H14" s="47"/>
      <c r="I14" s="47"/>
      <c r="J14" s="47"/>
    </row>
    <row r="15" spans="1:11">
      <c r="G15" s="47"/>
      <c r="H15" s="47"/>
      <c r="I15" s="47"/>
      <c r="J15" s="47"/>
    </row>
    <row r="16" spans="1:11">
      <c r="G16" s="47">
        <f>ROUNDDOWN(H16*I16*J3,0)</f>
        <v>360</v>
      </c>
      <c r="H16" s="47">
        <v>50</v>
      </c>
      <c r="I16" s="47">
        <v>2.4</v>
      </c>
      <c r="J16" s="47"/>
    </row>
    <row r="21" spans="1:10">
      <c r="A21" s="24" t="s">
        <v>63</v>
      </c>
      <c r="B21" s="48">
        <v>7</v>
      </c>
      <c r="C21" s="24" t="s">
        <v>64</v>
      </c>
      <c r="F21" s="24" t="s">
        <v>65</v>
      </c>
      <c r="G21" s="24">
        <f>IF(B21=3,G4,IF(B21=5,G8,IF(B21=7,G12,IF(B21=9,G16,IF(B21=6,2*G4,IF(B21=8,G4+G8,IF(B21=10,2*G8,IF(B21=12,G8+G12,IF(B21=14,2*G12,IF(B21=15,G4+G8+G12,IF(B21=18,2*G16,IF(B21=16,G12+G16))))))))))))</f>
        <v>288</v>
      </c>
      <c r="H21" s="24" t="s">
        <v>9</v>
      </c>
    </row>
    <row r="23" spans="1:10">
      <c r="A23" s="102" t="s">
        <v>72</v>
      </c>
      <c r="B23" s="103"/>
      <c r="C23" s="103"/>
      <c r="D23" s="103"/>
      <c r="E23" s="103"/>
      <c r="F23" s="103"/>
      <c r="G23" s="104"/>
      <c r="H23" s="104"/>
      <c r="I23" s="104"/>
      <c r="J23" s="105"/>
    </row>
    <row r="24" spans="1:10" ht="45">
      <c r="A24" s="25" t="s">
        <v>10</v>
      </c>
      <c r="B24" s="25" t="s">
        <v>35</v>
      </c>
      <c r="C24" s="25" t="s">
        <v>36</v>
      </c>
      <c r="D24" s="25" t="s">
        <v>37</v>
      </c>
      <c r="E24" s="25" t="s">
        <v>38</v>
      </c>
      <c r="F24" s="25" t="s">
        <v>45</v>
      </c>
      <c r="G24" s="25" t="s">
        <v>44</v>
      </c>
      <c r="H24" s="25" t="s">
        <v>54</v>
      </c>
      <c r="I24" s="25" t="s">
        <v>39</v>
      </c>
      <c r="J24" s="25" t="s">
        <v>40</v>
      </c>
    </row>
    <row r="25" spans="1:10" hidden="1">
      <c r="A25" s="26" t="s">
        <v>11</v>
      </c>
      <c r="B25" s="39">
        <v>0</v>
      </c>
      <c r="C25" s="29"/>
      <c r="D25" s="29"/>
      <c r="E25" s="29"/>
      <c r="F25" s="29"/>
      <c r="G25" s="29"/>
      <c r="H25" s="29"/>
      <c r="I25" s="29"/>
      <c r="J25" s="29"/>
    </row>
    <row r="26" spans="1:10" hidden="1">
      <c r="A26" s="26" t="s">
        <v>12</v>
      </c>
      <c r="B26" s="39">
        <v>0</v>
      </c>
      <c r="C26" s="29"/>
      <c r="D26" s="29"/>
      <c r="E26" s="29"/>
      <c r="F26" s="29"/>
      <c r="G26" s="29"/>
      <c r="H26" s="29"/>
      <c r="I26" s="29"/>
      <c r="J26" s="29"/>
    </row>
    <row r="27" spans="1:10" hidden="1">
      <c r="A27" s="26" t="s">
        <v>13</v>
      </c>
      <c r="B27" s="39">
        <v>0</v>
      </c>
      <c r="C27" s="29"/>
      <c r="D27" s="29"/>
      <c r="E27" s="29"/>
      <c r="F27" s="29"/>
      <c r="G27" s="29"/>
      <c r="H27" s="29"/>
      <c r="I27" s="29"/>
      <c r="J27" s="29"/>
    </row>
    <row r="28" spans="1:10" hidden="1">
      <c r="A28" s="26" t="s">
        <v>14</v>
      </c>
      <c r="B28" s="39">
        <v>0</v>
      </c>
      <c r="C28" s="29"/>
      <c r="D28" s="29"/>
      <c r="E28" s="29"/>
      <c r="F28" s="29"/>
      <c r="G28" s="29"/>
      <c r="H28" s="29"/>
      <c r="I28" s="29"/>
      <c r="J28" s="29"/>
    </row>
    <row r="29" spans="1:10" hidden="1">
      <c r="A29" s="26" t="s">
        <v>15</v>
      </c>
      <c r="B29" s="39">
        <v>0</v>
      </c>
      <c r="C29" s="29"/>
      <c r="D29" s="29"/>
      <c r="E29" s="29"/>
      <c r="F29" s="29"/>
      <c r="G29" s="29"/>
      <c r="H29" s="29"/>
      <c r="I29" s="29"/>
      <c r="J29" s="29"/>
    </row>
    <row r="30" spans="1:10" hidden="1">
      <c r="A30" s="26" t="s">
        <v>16</v>
      </c>
      <c r="B30" s="39">
        <v>0</v>
      </c>
      <c r="C30" s="29"/>
      <c r="D30" s="29"/>
      <c r="E30" s="29"/>
      <c r="F30" s="29"/>
      <c r="G30" s="29"/>
      <c r="H30" s="29"/>
      <c r="I30" s="29"/>
      <c r="J30" s="29"/>
    </row>
    <row r="31" spans="1:10" hidden="1">
      <c r="A31" s="26" t="s">
        <v>17</v>
      </c>
      <c r="B31" s="39">
        <v>0</v>
      </c>
      <c r="C31" s="29"/>
      <c r="D31" s="29"/>
      <c r="E31" s="29"/>
      <c r="F31" s="29"/>
      <c r="G31" s="29"/>
      <c r="H31" s="29"/>
      <c r="I31" s="29"/>
      <c r="J31" s="29"/>
    </row>
    <row r="32" spans="1:10">
      <c r="A32" s="26" t="s">
        <v>18</v>
      </c>
      <c r="B32" s="41">
        <f>'Demanda ENERO'!C81</f>
        <v>453.9632912108454</v>
      </c>
      <c r="C32" s="39">
        <v>10</v>
      </c>
      <c r="D32" s="42">
        <f>'Demanda ENERO'!C82</f>
        <v>1.3425658807468648</v>
      </c>
      <c r="E32" s="39">
        <f>ROUNDUP(60/C32,0)</f>
        <v>6</v>
      </c>
      <c r="F32" s="39">
        <f>'Número de tranvías'!C22</f>
        <v>8</v>
      </c>
      <c r="G32" s="39">
        <f>ROUNDUP(B32/F32,0)</f>
        <v>57</v>
      </c>
      <c r="H32" s="39">
        <f>E32*$G$21</f>
        <v>1728</v>
      </c>
      <c r="I32" s="39">
        <f>ROUNDUP(B32*D32,0)</f>
        <v>610</v>
      </c>
      <c r="J32" s="43">
        <f>1-(I32/H32)</f>
        <v>0.6469907407407407</v>
      </c>
    </row>
    <row r="33" spans="1:10">
      <c r="A33" s="26" t="s">
        <v>19</v>
      </c>
      <c r="B33" s="41">
        <f>'Demanda ENERO'!D81</f>
        <v>509.90601331795642</v>
      </c>
      <c r="C33" s="39">
        <v>10</v>
      </c>
      <c r="D33" s="42">
        <f>'Demanda ENERO'!D82</f>
        <v>1.3425658807468652</v>
      </c>
      <c r="E33" s="39">
        <f t="shared" ref="E33:E45" si="0">ROUNDUP(60/C33,0)</f>
        <v>6</v>
      </c>
      <c r="F33" s="39">
        <f>'Número de tranvías'!C23</f>
        <v>8</v>
      </c>
      <c r="G33" s="39">
        <f t="shared" ref="G33:G45" si="1">ROUNDUP(B33/F33,0)</f>
        <v>64</v>
      </c>
      <c r="H33" s="39">
        <f t="shared" ref="H33:H45" si="2">E33*$G$21</f>
        <v>1728</v>
      </c>
      <c r="I33" s="39">
        <f t="shared" ref="I33:I45" si="3">ROUNDUP(B33*D33,0)</f>
        <v>685</v>
      </c>
      <c r="J33" s="43">
        <f t="shared" ref="J33:J45" si="4">1-(I33/H33)</f>
        <v>0.60358796296296302</v>
      </c>
    </row>
    <row r="34" spans="1:10">
      <c r="A34" s="26" t="s">
        <v>20</v>
      </c>
      <c r="B34" s="41">
        <f>'Demanda ENERO'!E81</f>
        <v>433.64108696126681</v>
      </c>
      <c r="C34" s="39">
        <v>10</v>
      </c>
      <c r="D34" s="42">
        <f>'Demanda ENERO'!E82</f>
        <v>1.3425658807468652</v>
      </c>
      <c r="E34" s="39">
        <f t="shared" si="0"/>
        <v>6</v>
      </c>
      <c r="F34" s="39">
        <f>'Número de tranvías'!C24</f>
        <v>8</v>
      </c>
      <c r="G34" s="39">
        <f t="shared" si="1"/>
        <v>55</v>
      </c>
      <c r="H34" s="39">
        <f t="shared" si="2"/>
        <v>1728</v>
      </c>
      <c r="I34" s="39">
        <f t="shared" si="3"/>
        <v>583</v>
      </c>
      <c r="J34" s="43">
        <f t="shared" si="4"/>
        <v>0.6626157407407407</v>
      </c>
    </row>
    <row r="35" spans="1:10">
      <c r="A35" s="26" t="s">
        <v>21</v>
      </c>
      <c r="B35" s="41">
        <f>'Demanda ENERO'!F81</f>
        <v>424.53764602418801</v>
      </c>
      <c r="C35" s="39">
        <v>10</v>
      </c>
      <c r="D35" s="42">
        <f>'Demanda ENERO'!F82</f>
        <v>1.3425658807468652</v>
      </c>
      <c r="E35" s="39">
        <f t="shared" si="0"/>
        <v>6</v>
      </c>
      <c r="F35" s="39">
        <f>'Número de tranvías'!C25</f>
        <v>8</v>
      </c>
      <c r="G35" s="39">
        <f t="shared" si="1"/>
        <v>54</v>
      </c>
      <c r="H35" s="39">
        <f t="shared" si="2"/>
        <v>1728</v>
      </c>
      <c r="I35" s="39">
        <f t="shared" si="3"/>
        <v>570</v>
      </c>
      <c r="J35" s="43">
        <f t="shared" si="4"/>
        <v>0.67013888888888884</v>
      </c>
    </row>
    <row r="36" spans="1:10">
      <c r="A36" s="26" t="s">
        <v>22</v>
      </c>
      <c r="B36" s="41">
        <f>'Demanda ENERO'!G81</f>
        <v>420.9113790948951</v>
      </c>
      <c r="C36" s="39">
        <v>10</v>
      </c>
      <c r="D36" s="42">
        <f>'Demanda ENERO'!G82</f>
        <v>1.3425658807468652</v>
      </c>
      <c r="E36" s="39">
        <f t="shared" si="0"/>
        <v>6</v>
      </c>
      <c r="F36" s="39">
        <f>'Número de tranvías'!C26</f>
        <v>8</v>
      </c>
      <c r="G36" s="39">
        <f t="shared" si="1"/>
        <v>53</v>
      </c>
      <c r="H36" s="39">
        <f t="shared" si="2"/>
        <v>1728</v>
      </c>
      <c r="I36" s="39">
        <f t="shared" si="3"/>
        <v>566</v>
      </c>
      <c r="J36" s="43">
        <f t="shared" si="4"/>
        <v>0.67245370370370372</v>
      </c>
    </row>
    <row r="37" spans="1:10">
      <c r="A37" s="26" t="s">
        <v>23</v>
      </c>
      <c r="B37" s="41">
        <f>'Demanda ENERO'!H81</f>
        <v>434.43433285204958</v>
      </c>
      <c r="C37" s="39">
        <v>10</v>
      </c>
      <c r="D37" s="42">
        <f>'Demanda ENERO'!H82</f>
        <v>1.3425658807468648</v>
      </c>
      <c r="E37" s="39">
        <f t="shared" si="0"/>
        <v>6</v>
      </c>
      <c r="F37" s="39">
        <f>'Número de tranvías'!C27</f>
        <v>8</v>
      </c>
      <c r="G37" s="39">
        <f t="shared" si="1"/>
        <v>55</v>
      </c>
      <c r="H37" s="39">
        <f t="shared" si="2"/>
        <v>1728</v>
      </c>
      <c r="I37" s="39">
        <f t="shared" si="3"/>
        <v>584</v>
      </c>
      <c r="J37" s="43">
        <f t="shared" si="4"/>
        <v>0.66203703703703698</v>
      </c>
    </row>
    <row r="38" spans="1:10">
      <c r="A38" s="26" t="s">
        <v>24</v>
      </c>
      <c r="B38" s="41">
        <f>'Demanda ENERO'!I81</f>
        <v>492.26573565150073</v>
      </c>
      <c r="C38" s="39">
        <v>10</v>
      </c>
      <c r="D38" s="42">
        <f>'Demanda ENERO'!I82</f>
        <v>1.342565880746865</v>
      </c>
      <c r="E38" s="39">
        <f t="shared" si="0"/>
        <v>6</v>
      </c>
      <c r="F38" s="39">
        <f>'Número de tranvías'!C28</f>
        <v>8</v>
      </c>
      <c r="G38" s="39">
        <f t="shared" si="1"/>
        <v>62</v>
      </c>
      <c r="H38" s="39">
        <f t="shared" si="2"/>
        <v>1728</v>
      </c>
      <c r="I38" s="39">
        <f t="shared" si="3"/>
        <v>661</v>
      </c>
      <c r="J38" s="43">
        <f t="shared" si="4"/>
        <v>0.61747685185185186</v>
      </c>
    </row>
    <row r="39" spans="1:10">
      <c r="A39" s="26" t="s">
        <v>25</v>
      </c>
      <c r="B39" s="41">
        <f>'Demanda ENERO'!J81</f>
        <v>585.49101462540375</v>
      </c>
      <c r="C39" s="39">
        <v>10</v>
      </c>
      <c r="D39" s="42">
        <f>'Demanda ENERO'!J82</f>
        <v>1.342565880746865</v>
      </c>
      <c r="E39" s="39">
        <f t="shared" si="0"/>
        <v>6</v>
      </c>
      <c r="F39" s="39">
        <f>'Número de tranvías'!C29</f>
        <v>8</v>
      </c>
      <c r="G39" s="39">
        <f t="shared" si="1"/>
        <v>74</v>
      </c>
      <c r="H39" s="39">
        <f t="shared" si="2"/>
        <v>1728</v>
      </c>
      <c r="I39" s="39">
        <f t="shared" si="3"/>
        <v>787</v>
      </c>
      <c r="J39" s="43">
        <f t="shared" si="4"/>
        <v>0.54456018518518512</v>
      </c>
    </row>
    <row r="40" spans="1:10">
      <c r="A40" s="26" t="s">
        <v>26</v>
      </c>
      <c r="B40" s="41">
        <f>'Demanda ENERO'!K81</f>
        <v>477.7984415481763</v>
      </c>
      <c r="C40" s="39">
        <v>10</v>
      </c>
      <c r="D40" s="42">
        <f>'Demanda ENERO'!K82</f>
        <v>1.3425658807468648</v>
      </c>
      <c r="E40" s="39">
        <f t="shared" si="0"/>
        <v>6</v>
      </c>
      <c r="F40" s="39">
        <f>'Número de tranvías'!C30</f>
        <v>8</v>
      </c>
      <c r="G40" s="39">
        <f t="shared" si="1"/>
        <v>60</v>
      </c>
      <c r="H40" s="39">
        <f t="shared" si="2"/>
        <v>1728</v>
      </c>
      <c r="I40" s="39">
        <f t="shared" si="3"/>
        <v>642</v>
      </c>
      <c r="J40" s="43">
        <f t="shared" si="4"/>
        <v>0.62847222222222221</v>
      </c>
    </row>
    <row r="41" spans="1:10">
      <c r="A41" s="26" t="s">
        <v>27</v>
      </c>
      <c r="B41" s="41">
        <f>'Demanda ENERO'!L81</f>
        <v>471.11251189729279</v>
      </c>
      <c r="C41" s="39">
        <v>10</v>
      </c>
      <c r="D41" s="42">
        <f>'Demanda ENERO'!L82</f>
        <v>1.3425658807468652</v>
      </c>
      <c r="E41" s="39">
        <f t="shared" si="0"/>
        <v>6</v>
      </c>
      <c r="F41" s="39">
        <f>'Número de tranvías'!C31</f>
        <v>8</v>
      </c>
      <c r="G41" s="39">
        <f t="shared" si="1"/>
        <v>59</v>
      </c>
      <c r="H41" s="39">
        <f t="shared" si="2"/>
        <v>1728</v>
      </c>
      <c r="I41" s="39">
        <f t="shared" si="3"/>
        <v>633</v>
      </c>
      <c r="J41" s="43">
        <f t="shared" si="4"/>
        <v>0.63368055555555558</v>
      </c>
    </row>
    <row r="42" spans="1:10">
      <c r="A42" s="26" t="s">
        <v>28</v>
      </c>
      <c r="B42" s="41">
        <f>'Demanda ENERO'!M81</f>
        <v>477.60957347894237</v>
      </c>
      <c r="C42" s="39">
        <v>10</v>
      </c>
      <c r="D42" s="42">
        <f>'Demanda ENERO'!M82</f>
        <v>1.3425658807468652</v>
      </c>
      <c r="E42" s="39">
        <f t="shared" si="0"/>
        <v>6</v>
      </c>
      <c r="F42" s="39">
        <f>'Número de tranvías'!C32</f>
        <v>8</v>
      </c>
      <c r="G42" s="39">
        <f t="shared" si="1"/>
        <v>60</v>
      </c>
      <c r="H42" s="39">
        <f t="shared" si="2"/>
        <v>1728</v>
      </c>
      <c r="I42" s="39">
        <f t="shared" si="3"/>
        <v>642</v>
      </c>
      <c r="J42" s="43">
        <f t="shared" si="4"/>
        <v>0.62847222222222221</v>
      </c>
    </row>
    <row r="43" spans="1:10">
      <c r="A43" s="26" t="s">
        <v>29</v>
      </c>
      <c r="B43" s="41">
        <f>'Demanda ENERO'!N81</f>
        <v>410.18367276240389</v>
      </c>
      <c r="C43" s="39">
        <v>10</v>
      </c>
      <c r="D43" s="42">
        <f>'Demanda ENERO'!N82</f>
        <v>1.342565880746865</v>
      </c>
      <c r="E43" s="39">
        <f t="shared" si="0"/>
        <v>6</v>
      </c>
      <c r="F43" s="39">
        <f>'Número de tranvías'!C33</f>
        <v>8</v>
      </c>
      <c r="G43" s="39">
        <f t="shared" si="1"/>
        <v>52</v>
      </c>
      <c r="H43" s="39">
        <f t="shared" si="2"/>
        <v>1728</v>
      </c>
      <c r="I43" s="39">
        <f t="shared" si="3"/>
        <v>551</v>
      </c>
      <c r="J43" s="43">
        <f t="shared" si="4"/>
        <v>0.6811342592592593</v>
      </c>
    </row>
    <row r="44" spans="1:10">
      <c r="A44" s="26" t="s">
        <v>30</v>
      </c>
      <c r="B44" s="41">
        <f>'Demanda ENERO'!O81</f>
        <v>361.83344703849957</v>
      </c>
      <c r="C44" s="39">
        <v>10</v>
      </c>
      <c r="D44" s="42">
        <f>'Demanda ENERO'!O82</f>
        <v>1.342565880746865</v>
      </c>
      <c r="E44" s="39">
        <f t="shared" si="0"/>
        <v>6</v>
      </c>
      <c r="F44" s="39">
        <f>'Número de tranvías'!C34</f>
        <v>8</v>
      </c>
      <c r="G44" s="39">
        <f t="shared" si="1"/>
        <v>46</v>
      </c>
      <c r="H44" s="39">
        <f t="shared" si="2"/>
        <v>1728</v>
      </c>
      <c r="I44" s="39">
        <f t="shared" si="3"/>
        <v>486</v>
      </c>
      <c r="J44" s="43">
        <f t="shared" si="4"/>
        <v>0.71875</v>
      </c>
    </row>
    <row r="45" spans="1:10">
      <c r="A45" s="26" t="s">
        <v>31</v>
      </c>
      <c r="B45" s="41">
        <f>'Demanda ENERO'!P81</f>
        <v>281.14900786173422</v>
      </c>
      <c r="C45" s="39">
        <v>10</v>
      </c>
      <c r="D45" s="42">
        <f>'Demanda ENERO'!P82</f>
        <v>1.3425658807468654</v>
      </c>
      <c r="E45" s="39">
        <f t="shared" si="0"/>
        <v>6</v>
      </c>
      <c r="F45" s="39">
        <f>'Número de tranvías'!C35</f>
        <v>8</v>
      </c>
      <c r="G45" s="39">
        <f t="shared" si="1"/>
        <v>36</v>
      </c>
      <c r="H45" s="39">
        <f t="shared" si="2"/>
        <v>1728</v>
      </c>
      <c r="I45" s="39">
        <f t="shared" si="3"/>
        <v>378</v>
      </c>
      <c r="J45" s="43">
        <f t="shared" si="4"/>
        <v>0.78125</v>
      </c>
    </row>
    <row r="46" spans="1:10" hidden="1">
      <c r="A46" s="26" t="s">
        <v>32</v>
      </c>
      <c r="B46" s="39"/>
      <c r="C46" s="29"/>
      <c r="D46" s="29"/>
      <c r="E46" s="29"/>
      <c r="F46" s="29"/>
      <c r="G46" s="29"/>
      <c r="H46" s="29"/>
      <c r="I46" s="29"/>
      <c r="J46" s="29"/>
    </row>
    <row r="47" spans="1:10" hidden="1">
      <c r="A47" s="26" t="s">
        <v>33</v>
      </c>
      <c r="B47" s="39"/>
      <c r="C47" s="29"/>
      <c r="D47" s="29"/>
      <c r="E47" s="29"/>
      <c r="F47" s="29"/>
      <c r="G47" s="29"/>
      <c r="H47" s="29"/>
      <c r="I47" s="29"/>
      <c r="J47" s="29"/>
    </row>
    <row r="48" spans="1:10" hidden="1">
      <c r="A48" s="26" t="s">
        <v>34</v>
      </c>
      <c r="B48" s="39"/>
      <c r="C48" s="29"/>
      <c r="D48" s="29"/>
      <c r="E48" s="29"/>
      <c r="F48" s="29"/>
      <c r="G48" s="29"/>
      <c r="H48" s="29"/>
      <c r="I48" s="29"/>
      <c r="J48" s="29"/>
    </row>
    <row r="50" spans="1:10">
      <c r="A50" s="102" t="s">
        <v>73</v>
      </c>
      <c r="B50" s="103"/>
      <c r="C50" s="103"/>
      <c r="D50" s="103"/>
      <c r="E50" s="103"/>
      <c r="F50" s="103"/>
      <c r="G50" s="104"/>
      <c r="H50" s="104"/>
      <c r="I50" s="104"/>
      <c r="J50" s="105"/>
    </row>
    <row r="51" spans="1:10" ht="45">
      <c r="A51" s="25" t="s">
        <v>10</v>
      </c>
      <c r="B51" s="25" t="s">
        <v>35</v>
      </c>
      <c r="C51" s="25" t="s">
        <v>36</v>
      </c>
      <c r="D51" s="25" t="s">
        <v>37</v>
      </c>
      <c r="E51" s="25" t="s">
        <v>38</v>
      </c>
      <c r="F51" s="25" t="s">
        <v>45</v>
      </c>
      <c r="G51" s="25" t="s">
        <v>44</v>
      </c>
      <c r="H51" s="25" t="s">
        <v>54</v>
      </c>
      <c r="I51" s="25" t="s">
        <v>39</v>
      </c>
      <c r="J51" s="25" t="s">
        <v>40</v>
      </c>
    </row>
    <row r="52" spans="1:10" hidden="1">
      <c r="A52" s="26" t="s">
        <v>11</v>
      </c>
      <c r="B52" s="39"/>
      <c r="C52" s="39"/>
      <c r="D52" s="39"/>
      <c r="E52" s="39"/>
      <c r="F52" s="39"/>
      <c r="G52" s="39"/>
      <c r="H52" s="39"/>
      <c r="I52" s="39"/>
      <c r="J52" s="39"/>
    </row>
    <row r="53" spans="1:10" hidden="1">
      <c r="A53" s="26" t="s">
        <v>12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hidden="1">
      <c r="A54" s="26" t="s">
        <v>13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hidden="1">
      <c r="A55" s="26" t="s">
        <v>14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hidden="1">
      <c r="A56" s="26" t="s">
        <v>15</v>
      </c>
      <c r="B56" s="39"/>
      <c r="C56" s="39"/>
      <c r="D56" s="39"/>
      <c r="E56" s="39"/>
      <c r="F56" s="39"/>
      <c r="G56" s="39"/>
      <c r="H56" s="39"/>
      <c r="I56" s="39"/>
      <c r="J56" s="39"/>
    </row>
    <row r="57" spans="1:10" hidden="1">
      <c r="A57" s="26" t="s">
        <v>16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0" hidden="1">
      <c r="A58" s="26" t="s">
        <v>17</v>
      </c>
      <c r="B58" s="39"/>
      <c r="C58" s="39"/>
      <c r="D58" s="39"/>
      <c r="E58" s="39"/>
      <c r="F58" s="39"/>
      <c r="G58" s="39"/>
      <c r="H58" s="39"/>
      <c r="I58" s="39"/>
      <c r="J58" s="39"/>
    </row>
    <row r="59" spans="1:10">
      <c r="A59" s="26" t="s">
        <v>18</v>
      </c>
      <c r="B59" s="41">
        <f>'Demanda ENERO'!T81</f>
        <v>454.27529732032463</v>
      </c>
      <c r="C59" s="39">
        <v>10</v>
      </c>
      <c r="D59" s="44">
        <f>'Demanda ENERO'!T82</f>
        <v>1.2543698434004928</v>
      </c>
      <c r="E59" s="39">
        <f>ROUNDUP(60/C59,0)</f>
        <v>6</v>
      </c>
      <c r="F59" s="39">
        <f>F32</f>
        <v>8</v>
      </c>
      <c r="G59" s="39">
        <f>ROUNDUP(B59/F59,0)</f>
        <v>57</v>
      </c>
      <c r="H59" s="39">
        <f>E59*$G$21</f>
        <v>1728</v>
      </c>
      <c r="I59" s="39">
        <f>ROUNDUP(B59*D59,0)</f>
        <v>570</v>
      </c>
      <c r="J59" s="43">
        <f>1-(I59/H59)</f>
        <v>0.67013888888888884</v>
      </c>
    </row>
    <row r="60" spans="1:10">
      <c r="A60" s="26" t="s">
        <v>19</v>
      </c>
      <c r="B60" s="41">
        <f>'Demanda ENERO'!U81</f>
        <v>510.25646850782681</v>
      </c>
      <c r="C60" s="39">
        <v>10</v>
      </c>
      <c r="D60" s="44">
        <f>'Demanda ENERO'!U82</f>
        <v>1.2543698434004926</v>
      </c>
      <c r="E60" s="39">
        <f t="shared" ref="E60:E72" si="5">ROUNDUP(60/C60,0)</f>
        <v>6</v>
      </c>
      <c r="F60" s="39">
        <f t="shared" ref="F60:F72" si="6">F33</f>
        <v>8</v>
      </c>
      <c r="G60" s="39">
        <f t="shared" ref="G60:G72" si="7">ROUNDUP(B60/F60,0)</f>
        <v>64</v>
      </c>
      <c r="H60" s="39">
        <f t="shared" ref="H60:H72" si="8">E60*$G$21</f>
        <v>1728</v>
      </c>
      <c r="I60" s="39">
        <f t="shared" ref="I60:I72" si="9">ROUNDUP(B60*D60,0)</f>
        <v>641</v>
      </c>
      <c r="J60" s="43">
        <f t="shared" ref="J60:J72" si="10">1-(I60/H60)</f>
        <v>0.62905092592592593</v>
      </c>
    </row>
    <row r="61" spans="1:10">
      <c r="A61" s="26" t="s">
        <v>20</v>
      </c>
      <c r="B61" s="41">
        <f>'Demanda ENERO'!V81</f>
        <v>433.93912574782235</v>
      </c>
      <c r="C61" s="39">
        <v>10</v>
      </c>
      <c r="D61" s="44">
        <f>'Demanda ENERO'!V82</f>
        <v>1.2543698434004922</v>
      </c>
      <c r="E61" s="39">
        <f t="shared" si="5"/>
        <v>6</v>
      </c>
      <c r="F61" s="39">
        <f t="shared" si="6"/>
        <v>8</v>
      </c>
      <c r="G61" s="39">
        <f t="shared" si="7"/>
        <v>55</v>
      </c>
      <c r="H61" s="39">
        <f t="shared" si="8"/>
        <v>1728</v>
      </c>
      <c r="I61" s="39">
        <f t="shared" si="9"/>
        <v>545</v>
      </c>
      <c r="J61" s="43">
        <f t="shared" si="10"/>
        <v>0.6846064814814814</v>
      </c>
    </row>
    <row r="62" spans="1:10">
      <c r="A62" s="26" t="s">
        <v>21</v>
      </c>
      <c r="B62" s="41">
        <f>'Demanda ENERO'!W81</f>
        <v>424.82942807315112</v>
      </c>
      <c r="C62" s="39">
        <v>10</v>
      </c>
      <c r="D62" s="44">
        <f>'Demanda ENERO'!W82</f>
        <v>1.2543698434004922</v>
      </c>
      <c r="E62" s="39">
        <f t="shared" si="5"/>
        <v>6</v>
      </c>
      <c r="F62" s="39">
        <f t="shared" si="6"/>
        <v>8</v>
      </c>
      <c r="G62" s="39">
        <f t="shared" si="7"/>
        <v>54</v>
      </c>
      <c r="H62" s="39">
        <f t="shared" si="8"/>
        <v>1728</v>
      </c>
      <c r="I62" s="39">
        <f t="shared" si="9"/>
        <v>533</v>
      </c>
      <c r="J62" s="43">
        <f t="shared" si="10"/>
        <v>0.69155092592592593</v>
      </c>
    </row>
    <row r="63" spans="1:10">
      <c r="A63" s="26" t="s">
        <v>22</v>
      </c>
      <c r="B63" s="41">
        <f>'Demanda ENERO'!X81</f>
        <v>421.20066883344793</v>
      </c>
      <c r="C63" s="39">
        <v>10</v>
      </c>
      <c r="D63" s="44">
        <f>'Demanda ENERO'!X82</f>
        <v>1.2543698434004928</v>
      </c>
      <c r="E63" s="39">
        <f t="shared" si="5"/>
        <v>6</v>
      </c>
      <c r="F63" s="39">
        <f t="shared" si="6"/>
        <v>8</v>
      </c>
      <c r="G63" s="39">
        <f t="shared" si="7"/>
        <v>53</v>
      </c>
      <c r="H63" s="39">
        <f t="shared" si="8"/>
        <v>1728</v>
      </c>
      <c r="I63" s="39">
        <f t="shared" si="9"/>
        <v>529</v>
      </c>
      <c r="J63" s="43">
        <f t="shared" si="10"/>
        <v>0.6938657407407407</v>
      </c>
    </row>
    <row r="64" spans="1:10">
      <c r="A64" s="26" t="s">
        <v>23</v>
      </c>
      <c r="B64" s="41">
        <f>'Demanda ENERO'!Y81</f>
        <v>434.73291683150723</v>
      </c>
      <c r="C64" s="39">
        <v>10</v>
      </c>
      <c r="D64" s="44">
        <f>'Demanda ENERO'!Y82</f>
        <v>1.2543698434004926</v>
      </c>
      <c r="E64" s="39">
        <f t="shared" si="5"/>
        <v>6</v>
      </c>
      <c r="F64" s="39">
        <f t="shared" si="6"/>
        <v>8</v>
      </c>
      <c r="G64" s="39">
        <f t="shared" si="7"/>
        <v>55</v>
      </c>
      <c r="H64" s="39">
        <f t="shared" si="8"/>
        <v>1728</v>
      </c>
      <c r="I64" s="39">
        <f t="shared" si="9"/>
        <v>546</v>
      </c>
      <c r="J64" s="43">
        <f t="shared" si="10"/>
        <v>0.68402777777777779</v>
      </c>
    </row>
    <row r="65" spans="1:10">
      <c r="A65" s="26" t="s">
        <v>24</v>
      </c>
      <c r="B65" s="41">
        <f>'Demanda ENERO'!Z81</f>
        <v>492.6040667896882</v>
      </c>
      <c r="C65" s="39">
        <v>10</v>
      </c>
      <c r="D65" s="44">
        <f>'Demanda ENERO'!Z82</f>
        <v>1.2543698434004922</v>
      </c>
      <c r="E65" s="39">
        <f t="shared" si="5"/>
        <v>6</v>
      </c>
      <c r="F65" s="39">
        <f t="shared" si="6"/>
        <v>8</v>
      </c>
      <c r="G65" s="39">
        <f t="shared" si="7"/>
        <v>62</v>
      </c>
      <c r="H65" s="39">
        <f t="shared" si="8"/>
        <v>1728</v>
      </c>
      <c r="I65" s="39">
        <f t="shared" si="9"/>
        <v>618</v>
      </c>
      <c r="J65" s="43">
        <f t="shared" si="10"/>
        <v>0.64236111111111116</v>
      </c>
    </row>
    <row r="66" spans="1:10">
      <c r="A66" s="26" t="s">
        <v>25</v>
      </c>
      <c r="B66" s="41">
        <f>'Demanda ENERO'!AA81</f>
        <v>585.89341891038725</v>
      </c>
      <c r="C66" s="39">
        <v>10</v>
      </c>
      <c r="D66" s="44">
        <f>'Demanda ENERO'!AA82</f>
        <v>1.2543698434004922</v>
      </c>
      <c r="E66" s="39">
        <f t="shared" si="5"/>
        <v>6</v>
      </c>
      <c r="F66" s="39">
        <f t="shared" si="6"/>
        <v>8</v>
      </c>
      <c r="G66" s="39">
        <f t="shared" si="7"/>
        <v>74</v>
      </c>
      <c r="H66" s="39">
        <f t="shared" si="8"/>
        <v>1728</v>
      </c>
      <c r="I66" s="39">
        <f t="shared" si="9"/>
        <v>735</v>
      </c>
      <c r="J66" s="43">
        <f t="shared" si="10"/>
        <v>0.57465277777777779</v>
      </c>
    </row>
    <row r="67" spans="1:10">
      <c r="A67" s="26" t="s">
        <v>26</v>
      </c>
      <c r="B67" s="41">
        <f>'Demanda ENERO'!AB81</f>
        <v>478.1268294062894</v>
      </c>
      <c r="C67" s="39">
        <v>10</v>
      </c>
      <c r="D67" s="44">
        <f>'Demanda ENERO'!AB82</f>
        <v>1.2543698434004926</v>
      </c>
      <c r="E67" s="39">
        <f t="shared" si="5"/>
        <v>6</v>
      </c>
      <c r="F67" s="39">
        <f t="shared" si="6"/>
        <v>8</v>
      </c>
      <c r="G67" s="39">
        <f t="shared" si="7"/>
        <v>60</v>
      </c>
      <c r="H67" s="39">
        <f t="shared" si="8"/>
        <v>1728</v>
      </c>
      <c r="I67" s="39">
        <f t="shared" si="9"/>
        <v>600</v>
      </c>
      <c r="J67" s="43">
        <f t="shared" si="10"/>
        <v>0.65277777777777779</v>
      </c>
    </row>
    <row r="68" spans="1:10">
      <c r="A68" s="26" t="s">
        <v>27</v>
      </c>
      <c r="B68" s="41">
        <f>'Demanda ENERO'!AC81</f>
        <v>471.43630455808704</v>
      </c>
      <c r="C68" s="39">
        <v>10</v>
      </c>
      <c r="D68" s="44">
        <f>'Demanda ENERO'!AC82</f>
        <v>1.2543698434004926</v>
      </c>
      <c r="E68" s="39">
        <f t="shared" si="5"/>
        <v>6</v>
      </c>
      <c r="F68" s="39">
        <f t="shared" si="6"/>
        <v>8</v>
      </c>
      <c r="G68" s="39">
        <f t="shared" si="7"/>
        <v>59</v>
      </c>
      <c r="H68" s="39">
        <f t="shared" si="8"/>
        <v>1728</v>
      </c>
      <c r="I68" s="39">
        <f t="shared" si="9"/>
        <v>592</v>
      </c>
      <c r="J68" s="43">
        <f t="shared" si="10"/>
        <v>0.65740740740740744</v>
      </c>
    </row>
    <row r="69" spans="1:10">
      <c r="A69" s="26" t="s">
        <v>28</v>
      </c>
      <c r="B69" s="41">
        <f>'Demanda ENERO'!AD81</f>
        <v>477.93783152922168</v>
      </c>
      <c r="C69" s="39">
        <v>10</v>
      </c>
      <c r="D69" s="44">
        <f>'Demanda ENERO'!AD82</f>
        <v>1.2543698434004924</v>
      </c>
      <c r="E69" s="39">
        <f t="shared" si="5"/>
        <v>6</v>
      </c>
      <c r="F69" s="39">
        <f t="shared" si="6"/>
        <v>8</v>
      </c>
      <c r="G69" s="39">
        <f t="shared" si="7"/>
        <v>60</v>
      </c>
      <c r="H69" s="39">
        <f t="shared" si="8"/>
        <v>1728</v>
      </c>
      <c r="I69" s="39">
        <f t="shared" si="9"/>
        <v>600</v>
      </c>
      <c r="J69" s="43">
        <f t="shared" si="10"/>
        <v>0.65277777777777779</v>
      </c>
    </row>
    <row r="70" spans="1:10">
      <c r="A70" s="26" t="s">
        <v>29</v>
      </c>
      <c r="B70" s="41">
        <f>'Demanda ENERO'!AE81</f>
        <v>410.46558941599312</v>
      </c>
      <c r="C70" s="39">
        <v>10</v>
      </c>
      <c r="D70" s="44">
        <f>'Demanda ENERO'!AE82</f>
        <v>1.2543698434004926</v>
      </c>
      <c r="E70" s="39">
        <f t="shared" si="5"/>
        <v>6</v>
      </c>
      <c r="F70" s="39">
        <f t="shared" si="6"/>
        <v>8</v>
      </c>
      <c r="G70" s="39">
        <f t="shared" si="7"/>
        <v>52</v>
      </c>
      <c r="H70" s="39">
        <f t="shared" si="8"/>
        <v>1728</v>
      </c>
      <c r="I70" s="39">
        <f t="shared" si="9"/>
        <v>515</v>
      </c>
      <c r="J70" s="43">
        <f t="shared" si="10"/>
        <v>0.70196759259259256</v>
      </c>
    </row>
    <row r="71" spans="1:10">
      <c r="A71" s="26" t="s">
        <v>30</v>
      </c>
      <c r="B71" s="41">
        <f>'Demanda ENERO'!AF81</f>
        <v>362.08213288661932</v>
      </c>
      <c r="C71" s="39">
        <v>10</v>
      </c>
      <c r="D71" s="44">
        <f>'Demanda ENERO'!AF82</f>
        <v>1.2543698434004924</v>
      </c>
      <c r="E71" s="39">
        <f t="shared" si="5"/>
        <v>6</v>
      </c>
      <c r="F71" s="39">
        <f t="shared" si="6"/>
        <v>8</v>
      </c>
      <c r="G71" s="39">
        <f t="shared" si="7"/>
        <v>46</v>
      </c>
      <c r="H71" s="39">
        <f t="shared" si="8"/>
        <v>1728</v>
      </c>
      <c r="I71" s="39">
        <f t="shared" si="9"/>
        <v>455</v>
      </c>
      <c r="J71" s="43">
        <f t="shared" si="10"/>
        <v>0.73668981481481488</v>
      </c>
    </row>
    <row r="72" spans="1:10">
      <c r="A72" s="26" t="s">
        <v>31</v>
      </c>
      <c r="B72" s="41">
        <f>'Demanda ENERO'!AG81</f>
        <v>281.34223980322662</v>
      </c>
      <c r="C72" s="39">
        <v>10</v>
      </c>
      <c r="D72" s="44">
        <f>'Demanda ENERO'!AG82</f>
        <v>1.2543698434004924</v>
      </c>
      <c r="E72" s="39">
        <f t="shared" si="5"/>
        <v>6</v>
      </c>
      <c r="F72" s="39">
        <f t="shared" si="6"/>
        <v>8</v>
      </c>
      <c r="G72" s="39">
        <f t="shared" si="7"/>
        <v>36</v>
      </c>
      <c r="H72" s="39">
        <f t="shared" si="8"/>
        <v>1728</v>
      </c>
      <c r="I72" s="39">
        <f t="shared" si="9"/>
        <v>353</v>
      </c>
      <c r="J72" s="43">
        <f t="shared" si="10"/>
        <v>0.79571759259259256</v>
      </c>
    </row>
    <row r="73" spans="1:10" hidden="1">
      <c r="A73" s="26" t="s">
        <v>32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hidden="1">
      <c r="A74" s="26" t="s">
        <v>33</v>
      </c>
      <c r="B74" s="39"/>
      <c r="C74" s="39"/>
      <c r="D74" s="39"/>
      <c r="E74" s="39"/>
      <c r="F74" s="39"/>
      <c r="G74" s="39"/>
      <c r="H74" s="39"/>
      <c r="I74" s="39"/>
      <c r="J74" s="39"/>
    </row>
    <row r="75" spans="1:10" hidden="1">
      <c r="A75" s="26" t="s">
        <v>34</v>
      </c>
      <c r="B75" s="39"/>
      <c r="C75" s="39"/>
      <c r="D75" s="39"/>
      <c r="E75" s="39"/>
      <c r="F75" s="39"/>
      <c r="G75" s="39"/>
      <c r="H75" s="39"/>
      <c r="I75" s="39"/>
      <c r="J75" s="39"/>
    </row>
  </sheetData>
  <mergeCells count="7">
    <mergeCell ref="A1:B1"/>
    <mergeCell ref="A23:J23"/>
    <mergeCell ref="A50:J50"/>
    <mergeCell ref="G1:G2"/>
    <mergeCell ref="H1:H2"/>
    <mergeCell ref="I1:I2"/>
    <mergeCell ref="J1:J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4F60-76D8-4968-9DA2-697D091889CF}">
  <dimension ref="A1:K75"/>
  <sheetViews>
    <sheetView zoomScale="70" zoomScaleNormal="70" workbookViewId="0">
      <selection activeCell="J80" sqref="J80"/>
    </sheetView>
  </sheetViews>
  <sheetFormatPr baseColWidth="10" defaultRowHeight="15"/>
  <cols>
    <col min="2" max="10" width="15.7109375" customWidth="1"/>
  </cols>
  <sheetData>
    <row r="1" spans="1:11">
      <c r="A1" s="101"/>
      <c r="B1" s="99"/>
      <c r="G1" s="106" t="s">
        <v>59</v>
      </c>
      <c r="H1" s="106" t="s">
        <v>60</v>
      </c>
      <c r="I1" s="106" t="s">
        <v>61</v>
      </c>
      <c r="J1" s="106" t="s">
        <v>62</v>
      </c>
    </row>
    <row r="2" spans="1:11">
      <c r="G2" s="107"/>
      <c r="H2" s="107"/>
      <c r="I2" s="107"/>
      <c r="J2" s="107"/>
    </row>
    <row r="3" spans="1:11">
      <c r="I3" s="24"/>
      <c r="J3" s="46">
        <v>3</v>
      </c>
      <c r="K3" s="24"/>
    </row>
    <row r="4" spans="1:11">
      <c r="G4" s="47">
        <f>ROUNDDOWN(H4*I4*J3,0)</f>
        <v>144</v>
      </c>
      <c r="H4" s="47">
        <v>20</v>
      </c>
      <c r="I4" s="47">
        <v>2.4</v>
      </c>
    </row>
    <row r="5" spans="1:11">
      <c r="G5" s="47"/>
      <c r="H5" s="47"/>
      <c r="I5" s="47"/>
      <c r="J5" s="47"/>
    </row>
    <row r="6" spans="1:11">
      <c r="G6" s="47"/>
      <c r="H6" s="47"/>
      <c r="I6" s="47"/>
      <c r="J6" s="47"/>
    </row>
    <row r="7" spans="1:11">
      <c r="G7" s="47"/>
      <c r="H7" s="47"/>
      <c r="I7" s="47"/>
      <c r="J7" s="47"/>
    </row>
    <row r="8" spans="1:11">
      <c r="G8" s="47">
        <f>ROUNDDOWN(H8*I8*J3,0)</f>
        <v>216</v>
      </c>
      <c r="H8" s="47">
        <v>30</v>
      </c>
      <c r="I8" s="47">
        <v>2.4</v>
      </c>
      <c r="J8" s="47"/>
    </row>
    <row r="9" spans="1:11">
      <c r="G9" s="47"/>
      <c r="H9" s="47"/>
      <c r="I9" s="47"/>
      <c r="J9" s="47"/>
    </row>
    <row r="10" spans="1:11">
      <c r="G10" s="47"/>
      <c r="H10" s="47"/>
      <c r="I10" s="47"/>
      <c r="J10" s="47"/>
    </row>
    <row r="11" spans="1:11">
      <c r="G11" s="47"/>
      <c r="H11" s="47"/>
      <c r="I11" s="47"/>
      <c r="J11" s="47"/>
    </row>
    <row r="12" spans="1:11">
      <c r="G12" s="47">
        <f>ROUNDDOWN(H12*I12*J3,0)</f>
        <v>288</v>
      </c>
      <c r="H12" s="47">
        <v>40</v>
      </c>
      <c r="I12" s="47">
        <v>2.4</v>
      </c>
      <c r="J12" s="47"/>
    </row>
    <row r="13" spans="1:11">
      <c r="G13" s="47"/>
      <c r="H13" s="47"/>
      <c r="I13" s="47"/>
      <c r="J13" s="47"/>
    </row>
    <row r="14" spans="1:11">
      <c r="G14" s="47"/>
      <c r="H14" s="47"/>
      <c r="I14" s="47"/>
      <c r="J14" s="47"/>
    </row>
    <row r="15" spans="1:11">
      <c r="G15" s="47"/>
      <c r="H15" s="47"/>
      <c r="I15" s="47"/>
      <c r="J15" s="47"/>
    </row>
    <row r="16" spans="1:11">
      <c r="G16" s="47">
        <f>ROUNDDOWN(H16*I16*J3,0)</f>
        <v>360</v>
      </c>
      <c r="H16" s="47">
        <v>50</v>
      </c>
      <c r="I16" s="47">
        <v>2.4</v>
      </c>
      <c r="J16" s="47"/>
    </row>
    <row r="21" spans="1:10">
      <c r="A21" s="24" t="s">
        <v>63</v>
      </c>
      <c r="B21" s="48">
        <v>7</v>
      </c>
      <c r="C21" s="24" t="s">
        <v>64</v>
      </c>
      <c r="F21" s="24" t="s">
        <v>65</v>
      </c>
      <c r="G21" s="24">
        <f>IF(B21=3,G4,IF(B21=5,G8,IF(B21=7,G12,IF(B21=9,G16,IF(B21=6,2*G4,IF(B21=8,G4+G8,IF(B21=10,2*G8,IF(B21=12,G8+G12,IF(B21=14,2*G12,IF(B21=15,G4+G8+G12,IF(B21=18,2*G16,IF(B21=16,G12+G16))))))))))))</f>
        <v>288</v>
      </c>
      <c r="H21" s="24" t="s">
        <v>9</v>
      </c>
    </row>
    <row r="23" spans="1:10">
      <c r="A23" s="102" t="s">
        <v>72</v>
      </c>
      <c r="B23" s="103"/>
      <c r="C23" s="103"/>
      <c r="D23" s="103"/>
      <c r="E23" s="103"/>
      <c r="F23" s="103"/>
      <c r="G23" s="104"/>
      <c r="H23" s="104"/>
      <c r="I23" s="104"/>
      <c r="J23" s="105"/>
    </row>
    <row r="24" spans="1:10" ht="45">
      <c r="A24" s="25" t="s">
        <v>10</v>
      </c>
      <c r="B24" s="25" t="s">
        <v>35</v>
      </c>
      <c r="C24" s="25" t="s">
        <v>36</v>
      </c>
      <c r="D24" s="25" t="s">
        <v>37</v>
      </c>
      <c r="E24" s="25" t="s">
        <v>38</v>
      </c>
      <c r="F24" s="25" t="s">
        <v>45</v>
      </c>
      <c r="G24" s="25" t="s">
        <v>44</v>
      </c>
      <c r="H24" s="25" t="s">
        <v>54</v>
      </c>
      <c r="I24" s="25" t="s">
        <v>39</v>
      </c>
      <c r="J24" s="25" t="s">
        <v>40</v>
      </c>
    </row>
    <row r="25" spans="1:10" hidden="1">
      <c r="A25" s="26" t="s">
        <v>11</v>
      </c>
      <c r="B25" s="39">
        <v>0</v>
      </c>
      <c r="C25" s="29"/>
      <c r="D25" s="29"/>
      <c r="E25" s="29"/>
      <c r="F25" s="29"/>
      <c r="G25" s="29"/>
      <c r="H25" s="29"/>
      <c r="I25" s="29"/>
      <c r="J25" s="29"/>
    </row>
    <row r="26" spans="1:10" hidden="1">
      <c r="A26" s="26" t="s">
        <v>12</v>
      </c>
      <c r="B26" s="39">
        <v>0</v>
      </c>
      <c r="C26" s="29"/>
      <c r="D26" s="29"/>
      <c r="E26" s="29"/>
      <c r="F26" s="29"/>
      <c r="G26" s="29"/>
      <c r="H26" s="29"/>
      <c r="I26" s="29"/>
      <c r="J26" s="29"/>
    </row>
    <row r="27" spans="1:10" hidden="1">
      <c r="A27" s="26" t="s">
        <v>13</v>
      </c>
      <c r="B27" s="39">
        <v>0</v>
      </c>
      <c r="C27" s="29"/>
      <c r="D27" s="29"/>
      <c r="E27" s="29"/>
      <c r="F27" s="29"/>
      <c r="G27" s="29"/>
      <c r="H27" s="29"/>
      <c r="I27" s="29"/>
      <c r="J27" s="29"/>
    </row>
    <row r="28" spans="1:10" hidden="1">
      <c r="A28" s="26" t="s">
        <v>14</v>
      </c>
      <c r="B28" s="39">
        <v>0</v>
      </c>
      <c r="C28" s="29"/>
      <c r="D28" s="29"/>
      <c r="E28" s="29"/>
      <c r="F28" s="29"/>
      <c r="G28" s="29"/>
      <c r="H28" s="29"/>
      <c r="I28" s="29"/>
      <c r="J28" s="29"/>
    </row>
    <row r="29" spans="1:10" hidden="1">
      <c r="A29" s="26" t="s">
        <v>15</v>
      </c>
      <c r="B29" s="39">
        <v>0</v>
      </c>
      <c r="C29" s="29"/>
      <c r="D29" s="29"/>
      <c r="E29" s="29"/>
      <c r="F29" s="29"/>
      <c r="G29" s="29"/>
      <c r="H29" s="29"/>
      <c r="I29" s="29"/>
      <c r="J29" s="29"/>
    </row>
    <row r="30" spans="1:10" hidden="1">
      <c r="A30" s="26" t="s">
        <v>16</v>
      </c>
      <c r="B30" s="39">
        <v>0</v>
      </c>
      <c r="C30" s="29"/>
      <c r="D30" s="29"/>
      <c r="E30" s="29"/>
      <c r="F30" s="29"/>
      <c r="G30" s="29"/>
      <c r="H30" s="29"/>
      <c r="I30" s="29"/>
      <c r="J30" s="29"/>
    </row>
    <row r="31" spans="1:10" hidden="1">
      <c r="A31" s="26" t="s">
        <v>17</v>
      </c>
      <c r="B31" s="39">
        <v>0</v>
      </c>
      <c r="C31" s="29"/>
      <c r="D31" s="29"/>
      <c r="E31" s="29"/>
      <c r="F31" s="29"/>
      <c r="G31" s="29"/>
      <c r="H31" s="29"/>
      <c r="I31" s="29"/>
      <c r="J31" s="29"/>
    </row>
    <row r="32" spans="1:10">
      <c r="A32" s="26" t="s">
        <v>18</v>
      </c>
      <c r="B32" s="41">
        <f>'Demanda MAYO'!C81</f>
        <v>504.77233807870527</v>
      </c>
      <c r="C32" s="39">
        <v>10</v>
      </c>
      <c r="D32" s="42">
        <f>'Demanda MAYO'!C82</f>
        <v>1.3385656183470014</v>
      </c>
      <c r="E32" s="39">
        <f>ROUNDUP(60/C32,0)</f>
        <v>6</v>
      </c>
      <c r="F32" s="39">
        <f>'Número de tranvías'!C22</f>
        <v>8</v>
      </c>
      <c r="G32" s="39">
        <f>ROUNDUP(B32/F32,0)</f>
        <v>64</v>
      </c>
      <c r="H32" s="39">
        <f>E32*$G$21</f>
        <v>1728</v>
      </c>
      <c r="I32" s="39">
        <f>ROUNDUP(B32*D32,0)</f>
        <v>676</v>
      </c>
      <c r="J32" s="43">
        <f>1-(I32/H32)</f>
        <v>0.60879629629629628</v>
      </c>
    </row>
    <row r="33" spans="1:10">
      <c r="A33" s="26" t="s">
        <v>19</v>
      </c>
      <c r="B33" s="41">
        <f>'Demanda MAYO'!D81</f>
        <v>566.97635144986202</v>
      </c>
      <c r="C33" s="39">
        <v>10</v>
      </c>
      <c r="D33" s="42">
        <f>'Demanda MAYO'!D82</f>
        <v>1.3385656183470014</v>
      </c>
      <c r="E33" s="39">
        <f t="shared" ref="E33:E45" si="0">ROUNDUP(60/C33,0)</f>
        <v>6</v>
      </c>
      <c r="F33" s="39">
        <f>'Número de tranvías'!C23</f>
        <v>8</v>
      </c>
      <c r="G33" s="39">
        <f t="shared" ref="G33:G45" si="1">ROUNDUP(B33/F33,0)</f>
        <v>71</v>
      </c>
      <c r="H33" s="39">
        <f t="shared" ref="H33:H45" si="2">E33*$G$21</f>
        <v>1728</v>
      </c>
      <c r="I33" s="39">
        <f t="shared" ref="I33:I45" si="3">ROUNDUP(B33*D33,0)</f>
        <v>759</v>
      </c>
      <c r="J33" s="43">
        <f t="shared" ref="J33:J45" si="4">1-(I33/H33)</f>
        <v>0.56076388888888884</v>
      </c>
    </row>
    <row r="34" spans="1:10">
      <c r="A34" s="26" t="s">
        <v>20</v>
      </c>
      <c r="B34" s="41">
        <f>'Demanda MAYO'!E81</f>
        <v>482.17560668526681</v>
      </c>
      <c r="C34" s="39">
        <v>10</v>
      </c>
      <c r="D34" s="42">
        <f>'Demanda MAYO'!E82</f>
        <v>1.3385656183470018</v>
      </c>
      <c r="E34" s="39">
        <f t="shared" si="0"/>
        <v>6</v>
      </c>
      <c r="F34" s="39">
        <f>'Número de tranvías'!C24</f>
        <v>8</v>
      </c>
      <c r="G34" s="39">
        <f t="shared" si="1"/>
        <v>61</v>
      </c>
      <c r="H34" s="39">
        <f t="shared" si="2"/>
        <v>1728</v>
      </c>
      <c r="I34" s="39">
        <f t="shared" si="3"/>
        <v>646</v>
      </c>
      <c r="J34" s="43">
        <f t="shared" si="4"/>
        <v>0.62615740740740744</v>
      </c>
    </row>
    <row r="35" spans="1:10">
      <c r="A35" s="26" t="s">
        <v>21</v>
      </c>
      <c r="B35" s="41">
        <f>'Demanda MAYO'!F81</f>
        <v>472.05327905363356</v>
      </c>
      <c r="C35" s="39">
        <v>10</v>
      </c>
      <c r="D35" s="42">
        <f>'Demanda MAYO'!F82</f>
        <v>1.3385656183470021</v>
      </c>
      <c r="E35" s="39">
        <f t="shared" si="0"/>
        <v>6</v>
      </c>
      <c r="F35" s="39">
        <f>'Número de tranvías'!C25</f>
        <v>8</v>
      </c>
      <c r="G35" s="39">
        <f t="shared" si="1"/>
        <v>60</v>
      </c>
      <c r="H35" s="39">
        <f t="shared" si="2"/>
        <v>1728</v>
      </c>
      <c r="I35" s="39">
        <f t="shared" si="3"/>
        <v>632</v>
      </c>
      <c r="J35" s="43">
        <f t="shared" si="4"/>
        <v>0.6342592592592593</v>
      </c>
    </row>
    <row r="36" spans="1:10">
      <c r="A36" s="26" t="s">
        <v>22</v>
      </c>
      <c r="B36" s="41">
        <f>'Demanda MAYO'!G81</f>
        <v>468.02114854476724</v>
      </c>
      <c r="C36" s="39">
        <v>10</v>
      </c>
      <c r="D36" s="42">
        <f>'Demanda MAYO'!G82</f>
        <v>1.3385656183470016</v>
      </c>
      <c r="E36" s="39">
        <f t="shared" si="0"/>
        <v>6</v>
      </c>
      <c r="F36" s="39">
        <f>'Número de tranvías'!C26</f>
        <v>8</v>
      </c>
      <c r="G36" s="39">
        <f t="shared" si="1"/>
        <v>59</v>
      </c>
      <c r="H36" s="39">
        <f t="shared" si="2"/>
        <v>1728</v>
      </c>
      <c r="I36" s="39">
        <f t="shared" si="3"/>
        <v>627</v>
      </c>
      <c r="J36" s="43">
        <f t="shared" si="4"/>
        <v>0.63715277777777779</v>
      </c>
    </row>
    <row r="37" spans="1:10">
      <c r="A37" s="26" t="s">
        <v>23</v>
      </c>
      <c r="B37" s="41">
        <f>'Demanda MAYO'!H81</f>
        <v>483.0576352340812</v>
      </c>
      <c r="C37" s="39">
        <v>10</v>
      </c>
      <c r="D37" s="42">
        <f>'Demanda MAYO'!H82</f>
        <v>1.3385656183470014</v>
      </c>
      <c r="E37" s="39">
        <f t="shared" si="0"/>
        <v>6</v>
      </c>
      <c r="F37" s="39">
        <f>'Número de tranvías'!C27</f>
        <v>8</v>
      </c>
      <c r="G37" s="39">
        <f t="shared" si="1"/>
        <v>61</v>
      </c>
      <c r="H37" s="39">
        <f t="shared" si="2"/>
        <v>1728</v>
      </c>
      <c r="I37" s="39">
        <f t="shared" si="3"/>
        <v>647</v>
      </c>
      <c r="J37" s="43">
        <f t="shared" si="4"/>
        <v>0.62557870370370372</v>
      </c>
    </row>
    <row r="38" spans="1:10">
      <c r="A38" s="26" t="s">
        <v>24</v>
      </c>
      <c r="B38" s="41">
        <f>'Demanda MAYO'!I81</f>
        <v>547.36171657860609</v>
      </c>
      <c r="C38" s="39">
        <v>10</v>
      </c>
      <c r="D38" s="42">
        <f>'Demanda MAYO'!I82</f>
        <v>1.3385656183470014</v>
      </c>
      <c r="E38" s="39">
        <f t="shared" si="0"/>
        <v>6</v>
      </c>
      <c r="F38" s="39">
        <f>'Número de tranvías'!C28</f>
        <v>8</v>
      </c>
      <c r="G38" s="39">
        <f t="shared" si="1"/>
        <v>69</v>
      </c>
      <c r="H38" s="39">
        <f t="shared" si="2"/>
        <v>1728</v>
      </c>
      <c r="I38" s="39">
        <f t="shared" si="3"/>
        <v>733</v>
      </c>
      <c r="J38" s="43">
        <f t="shared" si="4"/>
        <v>0.57581018518518512</v>
      </c>
    </row>
    <row r="39" spans="1:10">
      <c r="A39" s="26" t="s">
        <v>25</v>
      </c>
      <c r="B39" s="41">
        <f>'Demanda MAYO'!J81</f>
        <v>651.02107174404478</v>
      </c>
      <c r="C39" s="39">
        <v>10</v>
      </c>
      <c r="D39" s="42">
        <f>'Demanda MAYO'!J82</f>
        <v>1.3385656183470014</v>
      </c>
      <c r="E39" s="39">
        <f t="shared" si="0"/>
        <v>6</v>
      </c>
      <c r="F39" s="39">
        <f>'Número de tranvías'!C29</f>
        <v>8</v>
      </c>
      <c r="G39" s="39">
        <f t="shared" si="1"/>
        <v>82</v>
      </c>
      <c r="H39" s="39">
        <f t="shared" si="2"/>
        <v>1728</v>
      </c>
      <c r="I39" s="39">
        <f t="shared" si="3"/>
        <v>872</v>
      </c>
      <c r="J39" s="43">
        <f t="shared" si="4"/>
        <v>0.49537037037037035</v>
      </c>
    </row>
    <row r="40" spans="1:10">
      <c r="A40" s="26" t="s">
        <v>26</v>
      </c>
      <c r="B40" s="41">
        <f>'Demanda MAYO'!K81</f>
        <v>531.27519590260795</v>
      </c>
      <c r="C40" s="39">
        <v>10</v>
      </c>
      <c r="D40" s="42">
        <f>'Demanda MAYO'!K82</f>
        <v>1.3385656183470016</v>
      </c>
      <c r="E40" s="39">
        <f t="shared" si="0"/>
        <v>6</v>
      </c>
      <c r="F40" s="39">
        <f>'Número de tranvías'!C30</f>
        <v>8</v>
      </c>
      <c r="G40" s="39">
        <f t="shared" si="1"/>
        <v>67</v>
      </c>
      <c r="H40" s="39">
        <f t="shared" si="2"/>
        <v>1728</v>
      </c>
      <c r="I40" s="39">
        <f t="shared" si="3"/>
        <v>712</v>
      </c>
      <c r="J40" s="43">
        <f t="shared" si="4"/>
        <v>0.58796296296296302</v>
      </c>
    </row>
    <row r="41" spans="1:10">
      <c r="A41" s="26" t="s">
        <v>27</v>
      </c>
      <c r="B41" s="41">
        <f>'Demanda MAYO'!L81</f>
        <v>523.84095527688567</v>
      </c>
      <c r="C41" s="39">
        <v>10</v>
      </c>
      <c r="D41" s="42">
        <f>'Demanda MAYO'!L82</f>
        <v>1.3385656183470016</v>
      </c>
      <c r="E41" s="39">
        <f t="shared" si="0"/>
        <v>6</v>
      </c>
      <c r="F41" s="39">
        <f>'Número de tranvías'!C31</f>
        <v>8</v>
      </c>
      <c r="G41" s="39">
        <f t="shared" si="1"/>
        <v>66</v>
      </c>
      <c r="H41" s="39">
        <f t="shared" si="2"/>
        <v>1728</v>
      </c>
      <c r="I41" s="39">
        <f t="shared" si="3"/>
        <v>702</v>
      </c>
      <c r="J41" s="43">
        <f t="shared" si="4"/>
        <v>0.59375</v>
      </c>
    </row>
    <row r="42" spans="1:10">
      <c r="A42" s="26" t="s">
        <v>28</v>
      </c>
      <c r="B42" s="41">
        <f>'Demanda MAYO'!M81</f>
        <v>531.0651891052712</v>
      </c>
      <c r="C42" s="39">
        <v>10</v>
      </c>
      <c r="D42" s="42">
        <f>'Demanda MAYO'!M82</f>
        <v>1.3385656183470014</v>
      </c>
      <c r="E42" s="39">
        <f t="shared" si="0"/>
        <v>6</v>
      </c>
      <c r="F42" s="39">
        <f>'Número de tranvías'!C32</f>
        <v>8</v>
      </c>
      <c r="G42" s="39">
        <f t="shared" si="1"/>
        <v>67</v>
      </c>
      <c r="H42" s="39">
        <f t="shared" si="2"/>
        <v>1728</v>
      </c>
      <c r="I42" s="39">
        <f t="shared" si="3"/>
        <v>711</v>
      </c>
      <c r="J42" s="43">
        <f t="shared" si="4"/>
        <v>0.58854166666666674</v>
      </c>
    </row>
    <row r="43" spans="1:10">
      <c r="A43" s="26" t="s">
        <v>29</v>
      </c>
      <c r="B43" s="41">
        <f>'Demanda MAYO'!N81</f>
        <v>456.09276245603763</v>
      </c>
      <c r="C43" s="39">
        <v>10</v>
      </c>
      <c r="D43" s="42">
        <f>'Demanda MAYO'!N82</f>
        <v>1.3385656183470021</v>
      </c>
      <c r="E43" s="39">
        <f t="shared" si="0"/>
        <v>6</v>
      </c>
      <c r="F43" s="39">
        <f>'Número de tranvías'!C33</f>
        <v>8</v>
      </c>
      <c r="G43" s="39">
        <f t="shared" si="1"/>
        <v>58</v>
      </c>
      <c r="H43" s="39">
        <f t="shared" si="2"/>
        <v>1728</v>
      </c>
      <c r="I43" s="39">
        <f t="shared" si="3"/>
        <v>611</v>
      </c>
      <c r="J43" s="43">
        <f t="shared" si="4"/>
        <v>0.64641203703703698</v>
      </c>
    </row>
    <row r="44" spans="1:10">
      <c r="A44" s="26" t="s">
        <v>30</v>
      </c>
      <c r="B44" s="41">
        <f>'Demanda MAYO'!O81</f>
        <v>402.33102233781977</v>
      </c>
      <c r="C44" s="39">
        <v>10</v>
      </c>
      <c r="D44" s="42">
        <f>'Demanda MAYO'!O82</f>
        <v>1.3385656183470018</v>
      </c>
      <c r="E44" s="39">
        <f t="shared" si="0"/>
        <v>6</v>
      </c>
      <c r="F44" s="39">
        <f>'Número de tranvías'!C34</f>
        <v>8</v>
      </c>
      <c r="G44" s="39">
        <f t="shared" si="1"/>
        <v>51</v>
      </c>
      <c r="H44" s="39">
        <f t="shared" si="2"/>
        <v>1728</v>
      </c>
      <c r="I44" s="39">
        <f t="shared" si="3"/>
        <v>539</v>
      </c>
      <c r="J44" s="43">
        <f t="shared" si="4"/>
        <v>0.68807870370370372</v>
      </c>
    </row>
    <row r="45" spans="1:10">
      <c r="A45" s="26" t="s">
        <v>31</v>
      </c>
      <c r="B45" s="41">
        <f>'Demanda MAYO'!P81</f>
        <v>312.61611851554363</v>
      </c>
      <c r="C45" s="39">
        <v>10</v>
      </c>
      <c r="D45" s="42">
        <f>'Demanda MAYO'!P82</f>
        <v>1.3385656183470016</v>
      </c>
      <c r="E45" s="39">
        <f t="shared" si="0"/>
        <v>6</v>
      </c>
      <c r="F45" s="39">
        <f>'Número de tranvías'!C35</f>
        <v>8</v>
      </c>
      <c r="G45" s="39">
        <f t="shared" si="1"/>
        <v>40</v>
      </c>
      <c r="H45" s="39">
        <f t="shared" si="2"/>
        <v>1728</v>
      </c>
      <c r="I45" s="39">
        <f t="shared" si="3"/>
        <v>419</v>
      </c>
      <c r="J45" s="43">
        <f t="shared" si="4"/>
        <v>0.75752314814814814</v>
      </c>
    </row>
    <row r="46" spans="1:10" hidden="1">
      <c r="A46" s="26" t="s">
        <v>32</v>
      </c>
      <c r="B46" s="39"/>
      <c r="C46" s="29"/>
      <c r="D46" s="29"/>
      <c r="E46" s="29"/>
      <c r="F46" s="29"/>
      <c r="G46" s="29"/>
      <c r="H46" s="29"/>
      <c r="I46" s="29"/>
      <c r="J46" s="29"/>
    </row>
    <row r="47" spans="1:10" hidden="1">
      <c r="A47" s="26" t="s">
        <v>33</v>
      </c>
      <c r="B47" s="39"/>
      <c r="C47" s="29"/>
      <c r="D47" s="29"/>
      <c r="E47" s="29"/>
      <c r="F47" s="29"/>
      <c r="G47" s="29"/>
      <c r="H47" s="29"/>
      <c r="I47" s="29"/>
      <c r="J47" s="29"/>
    </row>
    <row r="48" spans="1:10" hidden="1">
      <c r="A48" s="26" t="s">
        <v>34</v>
      </c>
      <c r="B48" s="39"/>
      <c r="C48" s="29"/>
      <c r="D48" s="29"/>
      <c r="E48" s="29"/>
      <c r="F48" s="29"/>
      <c r="G48" s="29"/>
      <c r="H48" s="29"/>
      <c r="I48" s="29"/>
      <c r="J48" s="29"/>
    </row>
    <row r="50" spans="1:10">
      <c r="A50" s="102" t="s">
        <v>73</v>
      </c>
      <c r="B50" s="103"/>
      <c r="C50" s="103"/>
      <c r="D50" s="103"/>
      <c r="E50" s="103"/>
      <c r="F50" s="103"/>
      <c r="G50" s="104"/>
      <c r="H50" s="104"/>
      <c r="I50" s="104"/>
      <c r="J50" s="105"/>
    </row>
    <row r="51" spans="1:10" ht="45">
      <c r="A51" s="25" t="s">
        <v>10</v>
      </c>
      <c r="B51" s="25" t="s">
        <v>35</v>
      </c>
      <c r="C51" s="25" t="s">
        <v>36</v>
      </c>
      <c r="D51" s="25" t="s">
        <v>37</v>
      </c>
      <c r="E51" s="25" t="s">
        <v>38</v>
      </c>
      <c r="F51" s="25" t="s">
        <v>45</v>
      </c>
      <c r="G51" s="25" t="s">
        <v>44</v>
      </c>
      <c r="H51" s="25" t="s">
        <v>54</v>
      </c>
      <c r="I51" s="25" t="s">
        <v>39</v>
      </c>
      <c r="J51" s="25" t="s">
        <v>40</v>
      </c>
    </row>
    <row r="52" spans="1:10" hidden="1">
      <c r="A52" s="26" t="s">
        <v>11</v>
      </c>
      <c r="B52" s="39"/>
      <c r="C52" s="39"/>
      <c r="D52" s="39"/>
      <c r="E52" s="39"/>
      <c r="F52" s="39"/>
      <c r="G52" s="39"/>
      <c r="H52" s="39"/>
      <c r="I52" s="39"/>
      <c r="J52" s="39"/>
    </row>
    <row r="53" spans="1:10" hidden="1">
      <c r="A53" s="26" t="s">
        <v>12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hidden="1">
      <c r="A54" s="26" t="s">
        <v>13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hidden="1">
      <c r="A55" s="26" t="s">
        <v>14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hidden="1">
      <c r="A56" s="26" t="s">
        <v>15</v>
      </c>
      <c r="B56" s="39"/>
      <c r="C56" s="39"/>
      <c r="D56" s="39"/>
      <c r="E56" s="39"/>
      <c r="F56" s="39"/>
      <c r="G56" s="39"/>
      <c r="H56" s="39"/>
      <c r="I56" s="39"/>
      <c r="J56" s="39"/>
    </row>
    <row r="57" spans="1:10" hidden="1">
      <c r="A57" s="26" t="s">
        <v>16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0" hidden="1">
      <c r="A58" s="26" t="s">
        <v>17</v>
      </c>
      <c r="B58" s="39"/>
      <c r="C58" s="39"/>
      <c r="D58" s="39"/>
      <c r="E58" s="39"/>
      <c r="F58" s="39"/>
      <c r="G58" s="39"/>
      <c r="H58" s="39"/>
      <c r="I58" s="39"/>
      <c r="J58" s="39"/>
    </row>
    <row r="59" spans="1:10">
      <c r="A59" s="26" t="s">
        <v>18</v>
      </c>
      <c r="B59" s="41">
        <f>'Demanda MAYO'!T81</f>
        <v>622.53664979701932</v>
      </c>
      <c r="C59" s="39">
        <v>10</v>
      </c>
      <c r="D59" s="44">
        <f>'Demanda MAYO'!T82</f>
        <v>1.2449993848059708</v>
      </c>
      <c r="E59" s="39">
        <f>ROUNDUP(60/C59,0)</f>
        <v>6</v>
      </c>
      <c r="F59" s="39">
        <f>F32</f>
        <v>8</v>
      </c>
      <c r="G59" s="39">
        <f>ROUNDUP(B59/F59,0)</f>
        <v>78</v>
      </c>
      <c r="H59" s="39">
        <f>E59*$G$21</f>
        <v>1728</v>
      </c>
      <c r="I59" s="39">
        <f>ROUNDUP(B59*D59,0)</f>
        <v>776</v>
      </c>
      <c r="J59" s="43">
        <f>1-(I59/H59)</f>
        <v>0.55092592592592593</v>
      </c>
    </row>
    <row r="60" spans="1:10">
      <c r="A60" s="26" t="s">
        <v>19</v>
      </c>
      <c r="B60" s="41">
        <f>'Demanda MAYO'!U81</f>
        <v>699.25297350723611</v>
      </c>
      <c r="C60" s="39">
        <v>10</v>
      </c>
      <c r="D60" s="44">
        <f>'Demanda MAYO'!U82</f>
        <v>1.2449993848059708</v>
      </c>
      <c r="E60" s="39">
        <f t="shared" ref="E60:E72" si="5">ROUNDUP(60/C60,0)</f>
        <v>6</v>
      </c>
      <c r="F60" s="39">
        <f t="shared" ref="F60:F72" si="6">F33</f>
        <v>8</v>
      </c>
      <c r="G60" s="39">
        <f t="shared" ref="G60:G72" si="7">ROUNDUP(B60/F60,0)</f>
        <v>88</v>
      </c>
      <c r="H60" s="39">
        <f t="shared" ref="H60:H72" si="8">E60*$G$21</f>
        <v>1728</v>
      </c>
      <c r="I60" s="39">
        <f t="shared" ref="I60:I72" si="9">ROUNDUP(B60*D60,0)</f>
        <v>871</v>
      </c>
      <c r="J60" s="43">
        <f t="shared" ref="J60:J72" si="10">1-(I60/H60)</f>
        <v>0.49594907407407407</v>
      </c>
    </row>
    <row r="61" spans="1:10">
      <c r="A61" s="26" t="s">
        <v>20</v>
      </c>
      <c r="B61" s="41">
        <f>'Demanda MAYO'!V81</f>
        <v>594.66805954982374</v>
      </c>
      <c r="C61" s="39">
        <v>10</v>
      </c>
      <c r="D61" s="44">
        <f>'Demanda MAYO'!V82</f>
        <v>1.2449993848059706</v>
      </c>
      <c r="E61" s="39">
        <f t="shared" si="5"/>
        <v>6</v>
      </c>
      <c r="F61" s="39">
        <f t="shared" si="6"/>
        <v>8</v>
      </c>
      <c r="G61" s="39">
        <f t="shared" si="7"/>
        <v>75</v>
      </c>
      <c r="H61" s="39">
        <f t="shared" si="8"/>
        <v>1728</v>
      </c>
      <c r="I61" s="39">
        <f t="shared" si="9"/>
        <v>741</v>
      </c>
      <c r="J61" s="43">
        <f t="shared" si="10"/>
        <v>0.57118055555555558</v>
      </c>
    </row>
    <row r="62" spans="1:10">
      <c r="A62" s="26" t="s">
        <v>21</v>
      </c>
      <c r="B62" s="41">
        <f>'Demanda MAYO'!W81</f>
        <v>582.18417432756701</v>
      </c>
      <c r="C62" s="39">
        <v>10</v>
      </c>
      <c r="D62" s="44">
        <f>'Demanda MAYO'!W82</f>
        <v>1.2449993848059706</v>
      </c>
      <c r="E62" s="39">
        <f t="shared" si="5"/>
        <v>6</v>
      </c>
      <c r="F62" s="39">
        <f t="shared" si="6"/>
        <v>8</v>
      </c>
      <c r="G62" s="39">
        <f t="shared" si="7"/>
        <v>73</v>
      </c>
      <c r="H62" s="39">
        <f t="shared" si="8"/>
        <v>1728</v>
      </c>
      <c r="I62" s="39">
        <f t="shared" si="9"/>
        <v>725</v>
      </c>
      <c r="J62" s="43">
        <f t="shared" si="10"/>
        <v>0.58043981481481488</v>
      </c>
    </row>
    <row r="63" spans="1:10">
      <c r="A63" s="26" t="s">
        <v>22</v>
      </c>
      <c r="B63" s="41">
        <f>'Demanda MAYO'!X81</f>
        <v>577.21134038011212</v>
      </c>
      <c r="C63" s="39">
        <v>10</v>
      </c>
      <c r="D63" s="44">
        <f>'Demanda MAYO'!X82</f>
        <v>1.2449993848059704</v>
      </c>
      <c r="E63" s="39">
        <f t="shared" si="5"/>
        <v>6</v>
      </c>
      <c r="F63" s="39">
        <f t="shared" si="6"/>
        <v>8</v>
      </c>
      <c r="G63" s="39">
        <f t="shared" si="7"/>
        <v>73</v>
      </c>
      <c r="H63" s="39">
        <f t="shared" si="8"/>
        <v>1728</v>
      </c>
      <c r="I63" s="39">
        <f t="shared" si="9"/>
        <v>719</v>
      </c>
      <c r="J63" s="43">
        <f t="shared" si="10"/>
        <v>0.58391203703703698</v>
      </c>
    </row>
    <row r="64" spans="1:10">
      <c r="A64" s="26" t="s">
        <v>23</v>
      </c>
      <c r="B64" s="41">
        <f>'Demanda MAYO'!Y81</f>
        <v>595.75586697582958</v>
      </c>
      <c r="C64" s="39">
        <v>10</v>
      </c>
      <c r="D64" s="44">
        <f>'Demanda MAYO'!Y82</f>
        <v>1.2449993848059706</v>
      </c>
      <c r="E64" s="39">
        <f t="shared" si="5"/>
        <v>6</v>
      </c>
      <c r="F64" s="39">
        <f t="shared" si="6"/>
        <v>8</v>
      </c>
      <c r="G64" s="39">
        <f t="shared" si="7"/>
        <v>75</v>
      </c>
      <c r="H64" s="39">
        <f t="shared" si="8"/>
        <v>1728</v>
      </c>
      <c r="I64" s="39">
        <f t="shared" si="9"/>
        <v>742</v>
      </c>
      <c r="J64" s="43">
        <f t="shared" si="10"/>
        <v>0.57060185185185186</v>
      </c>
    </row>
    <row r="65" spans="1:10">
      <c r="A65" s="26" t="s">
        <v>24</v>
      </c>
      <c r="B65" s="41">
        <f>'Demanda MAYO'!Z81</f>
        <v>675.06220836701266</v>
      </c>
      <c r="C65" s="39">
        <v>10</v>
      </c>
      <c r="D65" s="44">
        <f>'Demanda MAYO'!Z82</f>
        <v>1.2449993848059706</v>
      </c>
      <c r="E65" s="39">
        <f t="shared" si="5"/>
        <v>6</v>
      </c>
      <c r="F65" s="39">
        <f t="shared" si="6"/>
        <v>8</v>
      </c>
      <c r="G65" s="39">
        <f t="shared" si="7"/>
        <v>85</v>
      </c>
      <c r="H65" s="39">
        <f t="shared" si="8"/>
        <v>1728</v>
      </c>
      <c r="I65" s="39">
        <f t="shared" si="9"/>
        <v>841</v>
      </c>
      <c r="J65" s="43">
        <f t="shared" si="10"/>
        <v>0.51331018518518512</v>
      </c>
    </row>
    <row r="66" spans="1:10">
      <c r="A66" s="26" t="s">
        <v>25</v>
      </c>
      <c r="B66" s="41">
        <f>'Demanda MAYO'!AA81</f>
        <v>802.90548109950055</v>
      </c>
      <c r="C66" s="39">
        <v>10</v>
      </c>
      <c r="D66" s="44">
        <f>'Demanda MAYO'!AA82</f>
        <v>1.2449993848059708</v>
      </c>
      <c r="E66" s="39">
        <f t="shared" si="5"/>
        <v>6</v>
      </c>
      <c r="F66" s="39">
        <f t="shared" si="6"/>
        <v>8</v>
      </c>
      <c r="G66" s="39">
        <f t="shared" si="7"/>
        <v>101</v>
      </c>
      <c r="H66" s="39">
        <f t="shared" si="8"/>
        <v>1728</v>
      </c>
      <c r="I66" s="39">
        <f t="shared" si="9"/>
        <v>1000</v>
      </c>
      <c r="J66" s="43">
        <f t="shared" si="10"/>
        <v>0.42129629629629628</v>
      </c>
    </row>
    <row r="67" spans="1:10">
      <c r="A67" s="26" t="s">
        <v>26</v>
      </c>
      <c r="B67" s="41">
        <f>'Demanda MAYO'!AB81</f>
        <v>655.22267293081177</v>
      </c>
      <c r="C67" s="39">
        <v>10</v>
      </c>
      <c r="D67" s="44">
        <f>'Demanda MAYO'!AB82</f>
        <v>1.2449993848059706</v>
      </c>
      <c r="E67" s="39">
        <f t="shared" si="5"/>
        <v>6</v>
      </c>
      <c r="F67" s="39">
        <f t="shared" si="6"/>
        <v>8</v>
      </c>
      <c r="G67" s="39">
        <f t="shared" si="7"/>
        <v>82</v>
      </c>
      <c r="H67" s="39">
        <f t="shared" si="8"/>
        <v>1728</v>
      </c>
      <c r="I67" s="39">
        <f t="shared" si="9"/>
        <v>816</v>
      </c>
      <c r="J67" s="43">
        <f t="shared" si="10"/>
        <v>0.52777777777777779</v>
      </c>
    </row>
    <row r="68" spans="1:10">
      <c r="A68" s="26" t="s">
        <v>27</v>
      </c>
      <c r="B68" s="41">
        <f>'Demanda MAYO'!AC81</f>
        <v>646.05401034019201</v>
      </c>
      <c r="C68" s="39">
        <v>10</v>
      </c>
      <c r="D68" s="44">
        <f>'Demanda MAYO'!AC82</f>
        <v>1.2449993848059704</v>
      </c>
      <c r="E68" s="39">
        <f t="shared" si="5"/>
        <v>6</v>
      </c>
      <c r="F68" s="39">
        <f t="shared" si="6"/>
        <v>8</v>
      </c>
      <c r="G68" s="39">
        <f t="shared" si="7"/>
        <v>81</v>
      </c>
      <c r="H68" s="39">
        <f t="shared" si="8"/>
        <v>1728</v>
      </c>
      <c r="I68" s="39">
        <f t="shared" si="9"/>
        <v>805</v>
      </c>
      <c r="J68" s="43">
        <f t="shared" si="10"/>
        <v>0.5341435185185186</v>
      </c>
    </row>
    <row r="69" spans="1:10">
      <c r="A69" s="26" t="s">
        <v>28</v>
      </c>
      <c r="B69" s="41">
        <f>'Demanda MAYO'!AD81</f>
        <v>654.96367116271551</v>
      </c>
      <c r="C69" s="39">
        <v>10</v>
      </c>
      <c r="D69" s="44">
        <f>'Demanda MAYO'!AD82</f>
        <v>1.2449993848059704</v>
      </c>
      <c r="E69" s="39">
        <f t="shared" si="5"/>
        <v>6</v>
      </c>
      <c r="F69" s="39">
        <f t="shared" si="6"/>
        <v>8</v>
      </c>
      <c r="G69" s="39">
        <f t="shared" si="7"/>
        <v>82</v>
      </c>
      <c r="H69" s="39">
        <f t="shared" si="8"/>
        <v>1728</v>
      </c>
      <c r="I69" s="39">
        <f t="shared" si="9"/>
        <v>816</v>
      </c>
      <c r="J69" s="43">
        <f t="shared" si="10"/>
        <v>0.52777777777777779</v>
      </c>
    </row>
    <row r="70" spans="1:10">
      <c r="A70" s="26" t="s">
        <v>29</v>
      </c>
      <c r="B70" s="41">
        <f>'Demanda MAYO'!AE81</f>
        <v>562.5000399522246</v>
      </c>
      <c r="C70" s="39">
        <v>10</v>
      </c>
      <c r="D70" s="44">
        <f>'Demanda MAYO'!AE82</f>
        <v>1.2449993848059704</v>
      </c>
      <c r="E70" s="39">
        <f t="shared" si="5"/>
        <v>6</v>
      </c>
      <c r="F70" s="39">
        <f t="shared" si="6"/>
        <v>8</v>
      </c>
      <c r="G70" s="39">
        <f t="shared" si="7"/>
        <v>71</v>
      </c>
      <c r="H70" s="39">
        <f t="shared" si="8"/>
        <v>1728</v>
      </c>
      <c r="I70" s="39">
        <f t="shared" si="9"/>
        <v>701</v>
      </c>
      <c r="J70" s="43">
        <f t="shared" si="10"/>
        <v>0.59432870370370372</v>
      </c>
    </row>
    <row r="71" spans="1:10">
      <c r="A71" s="26" t="s">
        <v>30</v>
      </c>
      <c r="B71" s="41">
        <f>'Demanda MAYO'!AF81</f>
        <v>496.19558731949149</v>
      </c>
      <c r="C71" s="39">
        <v>10</v>
      </c>
      <c r="D71" s="44">
        <f>'Demanda MAYO'!AF82</f>
        <v>1.2449993848059704</v>
      </c>
      <c r="E71" s="39">
        <f t="shared" si="5"/>
        <v>6</v>
      </c>
      <c r="F71" s="39">
        <f t="shared" si="6"/>
        <v>8</v>
      </c>
      <c r="G71" s="39">
        <f t="shared" si="7"/>
        <v>63</v>
      </c>
      <c r="H71" s="39">
        <f t="shared" si="8"/>
        <v>1728</v>
      </c>
      <c r="I71" s="39">
        <f t="shared" si="9"/>
        <v>618</v>
      </c>
      <c r="J71" s="43">
        <f t="shared" si="10"/>
        <v>0.64236111111111116</v>
      </c>
    </row>
    <row r="72" spans="1:10">
      <c r="A72" s="26" t="s">
        <v>31</v>
      </c>
      <c r="B72" s="41">
        <f>'Demanda MAYO'!AG81</f>
        <v>385.55003198861834</v>
      </c>
      <c r="C72" s="39">
        <v>10</v>
      </c>
      <c r="D72" s="44">
        <f>'Demanda MAYO'!AG82</f>
        <v>1.2449993848059706</v>
      </c>
      <c r="E72" s="39">
        <f t="shared" si="5"/>
        <v>6</v>
      </c>
      <c r="F72" s="39">
        <f t="shared" si="6"/>
        <v>8</v>
      </c>
      <c r="G72" s="39">
        <f t="shared" si="7"/>
        <v>49</v>
      </c>
      <c r="H72" s="39">
        <f t="shared" si="8"/>
        <v>1728</v>
      </c>
      <c r="I72" s="39">
        <f t="shared" si="9"/>
        <v>481</v>
      </c>
      <c r="J72" s="43">
        <f t="shared" si="10"/>
        <v>0.7216435185185186</v>
      </c>
    </row>
    <row r="73" spans="1:10" hidden="1">
      <c r="A73" s="26" t="s">
        <v>32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hidden="1">
      <c r="A74" s="26" t="s">
        <v>33</v>
      </c>
      <c r="B74" s="39"/>
      <c r="C74" s="39"/>
      <c r="D74" s="39"/>
      <c r="E74" s="39"/>
      <c r="F74" s="39"/>
      <c r="G74" s="39"/>
      <c r="H74" s="39"/>
      <c r="I74" s="39"/>
      <c r="J74" s="39"/>
    </row>
    <row r="75" spans="1:10" hidden="1">
      <c r="A75" s="26" t="s">
        <v>34</v>
      </c>
      <c r="B75" s="39"/>
      <c r="C75" s="39"/>
      <c r="D75" s="39"/>
      <c r="E75" s="39"/>
      <c r="F75" s="39"/>
      <c r="G75" s="39"/>
      <c r="H75" s="39"/>
      <c r="I75" s="39"/>
      <c r="J75" s="39"/>
    </row>
  </sheetData>
  <mergeCells count="7">
    <mergeCell ref="A1:B1"/>
    <mergeCell ref="A23:J23"/>
    <mergeCell ref="A50:J50"/>
    <mergeCell ref="G1:G2"/>
    <mergeCell ref="H1:H2"/>
    <mergeCell ref="I1:I2"/>
    <mergeCell ref="J1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60C2-C3D1-406F-816B-D413B1193C23}">
  <dimension ref="A1:K75"/>
  <sheetViews>
    <sheetView topLeftCell="A19" zoomScale="70" zoomScaleNormal="70" workbookViewId="0">
      <selection activeCell="E32" sqref="E32"/>
    </sheetView>
  </sheetViews>
  <sheetFormatPr baseColWidth="10" defaultRowHeight="15"/>
  <cols>
    <col min="2" max="10" width="15.7109375" customWidth="1"/>
  </cols>
  <sheetData>
    <row r="1" spans="1:11">
      <c r="A1" s="101"/>
      <c r="B1" s="99"/>
      <c r="G1" s="106" t="s">
        <v>59</v>
      </c>
      <c r="H1" s="106" t="s">
        <v>60</v>
      </c>
      <c r="I1" s="106" t="s">
        <v>61</v>
      </c>
      <c r="J1" s="106" t="s">
        <v>62</v>
      </c>
    </row>
    <row r="2" spans="1:11">
      <c r="G2" s="107"/>
      <c r="H2" s="107"/>
      <c r="I2" s="107"/>
      <c r="J2" s="107"/>
    </row>
    <row r="3" spans="1:11">
      <c r="I3" s="24"/>
      <c r="J3" s="46">
        <v>3</v>
      </c>
      <c r="K3" s="24"/>
    </row>
    <row r="4" spans="1:11">
      <c r="G4" s="47">
        <f>ROUNDDOWN(H4*I4*J3,0)</f>
        <v>144</v>
      </c>
      <c r="H4" s="47">
        <v>20</v>
      </c>
      <c r="I4" s="47">
        <v>2.4</v>
      </c>
    </row>
    <row r="5" spans="1:11">
      <c r="G5" s="47"/>
      <c r="H5" s="47"/>
      <c r="I5" s="47"/>
      <c r="J5" s="47"/>
    </row>
    <row r="6" spans="1:11">
      <c r="G6" s="47"/>
      <c r="H6" s="47"/>
      <c r="I6" s="47"/>
      <c r="J6" s="47"/>
    </row>
    <row r="7" spans="1:11">
      <c r="G7" s="47"/>
      <c r="H7" s="47"/>
      <c r="I7" s="47"/>
      <c r="J7" s="47"/>
    </row>
    <row r="8" spans="1:11">
      <c r="G8" s="47">
        <f>ROUNDDOWN(H8*I8*J3,0)</f>
        <v>216</v>
      </c>
      <c r="H8" s="47">
        <v>30</v>
      </c>
      <c r="I8" s="47">
        <v>2.4</v>
      </c>
      <c r="J8" s="47"/>
    </row>
    <row r="9" spans="1:11">
      <c r="G9" s="47"/>
      <c r="H9" s="47"/>
      <c r="I9" s="47"/>
      <c r="J9" s="47"/>
    </row>
    <row r="10" spans="1:11">
      <c r="G10" s="47"/>
      <c r="H10" s="47"/>
      <c r="I10" s="47"/>
      <c r="J10" s="47"/>
    </row>
    <row r="11" spans="1:11">
      <c r="G11" s="47"/>
      <c r="H11" s="47"/>
      <c r="I11" s="47"/>
      <c r="J11" s="47"/>
    </row>
    <row r="12" spans="1:11">
      <c r="G12" s="47">
        <f>ROUNDDOWN(H12*I12*J3,0)</f>
        <v>288</v>
      </c>
      <c r="H12" s="47">
        <v>40</v>
      </c>
      <c r="I12" s="47">
        <v>2.4</v>
      </c>
      <c r="J12" s="47"/>
    </row>
    <row r="13" spans="1:11">
      <c r="G13" s="47"/>
      <c r="H13" s="47"/>
      <c r="I13" s="47"/>
      <c r="J13" s="47"/>
    </row>
    <row r="14" spans="1:11">
      <c r="G14" s="47"/>
      <c r="H14" s="47"/>
      <c r="I14" s="47"/>
      <c r="J14" s="47"/>
    </row>
    <row r="15" spans="1:11">
      <c r="G15" s="47"/>
      <c r="H15" s="47"/>
      <c r="I15" s="47"/>
      <c r="J15" s="47"/>
    </row>
    <row r="16" spans="1:11">
      <c r="G16" s="47">
        <f>ROUNDDOWN(H16*I16*J3,0)</f>
        <v>360</v>
      </c>
      <c r="H16" s="47">
        <v>50</v>
      </c>
      <c r="I16" s="47">
        <v>2.4</v>
      </c>
      <c r="J16" s="47"/>
    </row>
    <row r="21" spans="1:10">
      <c r="A21" s="24" t="s">
        <v>63</v>
      </c>
      <c r="B21" s="48">
        <v>7</v>
      </c>
      <c r="C21" s="24" t="s">
        <v>64</v>
      </c>
      <c r="F21" s="24" t="s">
        <v>65</v>
      </c>
      <c r="G21" s="24">
        <f>IF(B21=3,G4,IF(B21=5,G8,IF(B21=7,G12,IF(B21=9,G16,IF(B21=6,2*G4,IF(B21=8,G4+G8,IF(B21=10,2*G8,IF(B21=12,G8+G12,IF(B21=14,2*G12,IF(B21=15,G4+G8+G12,IF(B21=18,2*G16,IF(B21=16,G12+G16))))))))))))</f>
        <v>288</v>
      </c>
      <c r="H21" s="24" t="s">
        <v>9</v>
      </c>
    </row>
    <row r="23" spans="1:10">
      <c r="A23" s="102" t="s">
        <v>72</v>
      </c>
      <c r="B23" s="103"/>
      <c r="C23" s="103"/>
      <c r="D23" s="103"/>
      <c r="E23" s="103"/>
      <c r="F23" s="103"/>
      <c r="G23" s="104"/>
      <c r="H23" s="104"/>
      <c r="I23" s="104"/>
      <c r="J23" s="105"/>
    </row>
    <row r="24" spans="1:10" ht="45">
      <c r="A24" s="25" t="s">
        <v>10</v>
      </c>
      <c r="B24" s="25" t="s">
        <v>35</v>
      </c>
      <c r="C24" s="25" t="s">
        <v>36</v>
      </c>
      <c r="D24" s="25" t="s">
        <v>37</v>
      </c>
      <c r="E24" s="25" t="s">
        <v>38</v>
      </c>
      <c r="F24" s="25" t="s">
        <v>45</v>
      </c>
      <c r="G24" s="25" t="s">
        <v>44</v>
      </c>
      <c r="H24" s="25" t="s">
        <v>54</v>
      </c>
      <c r="I24" s="25" t="s">
        <v>39</v>
      </c>
      <c r="J24" s="25" t="s">
        <v>40</v>
      </c>
    </row>
    <row r="25" spans="1:10" hidden="1">
      <c r="A25" s="26" t="s">
        <v>11</v>
      </c>
      <c r="B25" s="39">
        <v>0</v>
      </c>
      <c r="C25" s="29"/>
      <c r="D25" s="29"/>
      <c r="E25" s="29"/>
      <c r="F25" s="29"/>
      <c r="G25" s="29"/>
      <c r="H25" s="29"/>
      <c r="I25" s="29"/>
      <c r="J25" s="29"/>
    </row>
    <row r="26" spans="1:10" hidden="1">
      <c r="A26" s="26" t="s">
        <v>12</v>
      </c>
      <c r="B26" s="39">
        <v>0</v>
      </c>
      <c r="C26" s="29"/>
      <c r="D26" s="29"/>
      <c r="E26" s="29"/>
      <c r="F26" s="29"/>
      <c r="G26" s="29"/>
      <c r="H26" s="29"/>
      <c r="I26" s="29"/>
      <c r="J26" s="29"/>
    </row>
    <row r="27" spans="1:10" hidden="1">
      <c r="A27" s="26" t="s">
        <v>13</v>
      </c>
      <c r="B27" s="39">
        <v>0</v>
      </c>
      <c r="C27" s="29"/>
      <c r="D27" s="29"/>
      <c r="E27" s="29"/>
      <c r="F27" s="29"/>
      <c r="G27" s="29"/>
      <c r="H27" s="29"/>
      <c r="I27" s="29"/>
      <c r="J27" s="29"/>
    </row>
    <row r="28" spans="1:10" hidden="1">
      <c r="A28" s="26" t="s">
        <v>14</v>
      </c>
      <c r="B28" s="39">
        <v>0</v>
      </c>
      <c r="C28" s="29"/>
      <c r="D28" s="29"/>
      <c r="E28" s="29"/>
      <c r="F28" s="29"/>
      <c r="G28" s="29"/>
      <c r="H28" s="29"/>
      <c r="I28" s="29"/>
      <c r="J28" s="29"/>
    </row>
    <row r="29" spans="1:10" hidden="1">
      <c r="A29" s="26" t="s">
        <v>15</v>
      </c>
      <c r="B29" s="39">
        <v>0</v>
      </c>
      <c r="C29" s="29"/>
      <c r="D29" s="29"/>
      <c r="E29" s="29"/>
      <c r="F29" s="29"/>
      <c r="G29" s="29"/>
      <c r="H29" s="29"/>
      <c r="I29" s="29"/>
      <c r="J29" s="29"/>
    </row>
    <row r="30" spans="1:10" hidden="1">
      <c r="A30" s="26" t="s">
        <v>16</v>
      </c>
      <c r="B30" s="39">
        <v>0</v>
      </c>
      <c r="C30" s="29"/>
      <c r="D30" s="29"/>
      <c r="E30" s="29"/>
      <c r="F30" s="29"/>
      <c r="G30" s="29"/>
      <c r="H30" s="29"/>
      <c r="I30" s="29"/>
      <c r="J30" s="29"/>
    </row>
    <row r="31" spans="1:10" hidden="1">
      <c r="A31" s="26" t="s">
        <v>17</v>
      </c>
      <c r="B31" s="39">
        <v>0</v>
      </c>
      <c r="C31" s="29"/>
      <c r="D31" s="29"/>
      <c r="E31" s="29"/>
      <c r="F31" s="29"/>
      <c r="G31" s="29"/>
      <c r="H31" s="29"/>
      <c r="I31" s="29"/>
      <c r="J31" s="29"/>
    </row>
    <row r="32" spans="1:10">
      <c r="A32" s="26" t="s">
        <v>18</v>
      </c>
      <c r="B32" s="41">
        <f>'Demanda AGOSTO'!C81</f>
        <v>528.55666035905404</v>
      </c>
      <c r="C32" s="39">
        <v>10</v>
      </c>
      <c r="D32" s="42">
        <f>'Demanda AGOSTO'!C82</f>
        <v>1.321441128271978</v>
      </c>
      <c r="E32" s="39">
        <f>ROUNDUP(60/C32,0)</f>
        <v>6</v>
      </c>
      <c r="F32" s="39">
        <f>'Número de tranvías'!C22</f>
        <v>8</v>
      </c>
      <c r="G32" s="39">
        <f>ROUNDUP(B32/F32,0)</f>
        <v>67</v>
      </c>
      <c r="H32" s="39">
        <f>E32*$G$21</f>
        <v>1728</v>
      </c>
      <c r="I32" s="39">
        <f>ROUNDUP(B32*D32,0)</f>
        <v>699</v>
      </c>
      <c r="J32" s="43">
        <f>1-(I32/H32)</f>
        <v>0.59548611111111116</v>
      </c>
    </row>
    <row r="33" spans="1:10">
      <c r="A33" s="26" t="s">
        <v>19</v>
      </c>
      <c r="B33" s="41">
        <f>'Demanda AGOSTO'!D81</f>
        <v>593.69165902703185</v>
      </c>
      <c r="C33" s="39">
        <v>10</v>
      </c>
      <c r="D33" s="42">
        <f>'Demanda AGOSTO'!D82</f>
        <v>1.3214411282719785</v>
      </c>
      <c r="E33" s="39">
        <f t="shared" ref="E33:E45" si="0">ROUNDUP(60/C33,0)</f>
        <v>6</v>
      </c>
      <c r="F33" s="39">
        <f>'Número de tranvías'!C23</f>
        <v>8</v>
      </c>
      <c r="G33" s="39">
        <f t="shared" ref="G33:G45" si="1">ROUNDUP(B33/F33,0)</f>
        <v>75</v>
      </c>
      <c r="H33" s="39">
        <f t="shared" ref="H33:H45" si="2">E33*$G$21</f>
        <v>1728</v>
      </c>
      <c r="I33" s="39">
        <f t="shared" ref="I33:I45" si="3">ROUNDUP(B33*D33,0)</f>
        <v>785</v>
      </c>
      <c r="J33" s="43">
        <f t="shared" ref="J33:J45" si="4">1-(I33/H33)</f>
        <v>0.54571759259259256</v>
      </c>
    </row>
    <row r="34" spans="1:10">
      <c r="A34" s="26" t="s">
        <v>20</v>
      </c>
      <c r="B34" s="41">
        <f>'Demanda AGOSTO'!E81</f>
        <v>504.89519561673654</v>
      </c>
      <c r="C34" s="39">
        <v>10</v>
      </c>
      <c r="D34" s="42">
        <f>'Demanda AGOSTO'!E82</f>
        <v>1.3214411282719782</v>
      </c>
      <c r="E34" s="39">
        <f t="shared" si="0"/>
        <v>6</v>
      </c>
      <c r="F34" s="39">
        <f>'Número de tranvías'!C24</f>
        <v>8</v>
      </c>
      <c r="G34" s="39">
        <f t="shared" si="1"/>
        <v>64</v>
      </c>
      <c r="H34" s="39">
        <f t="shared" si="2"/>
        <v>1728</v>
      </c>
      <c r="I34" s="39">
        <f t="shared" si="3"/>
        <v>668</v>
      </c>
      <c r="J34" s="43">
        <f t="shared" si="4"/>
        <v>0.61342592592592593</v>
      </c>
    </row>
    <row r="35" spans="1:10">
      <c r="A35" s="26" t="s">
        <v>21</v>
      </c>
      <c r="B35" s="41">
        <f>'Demanda AGOSTO'!F81</f>
        <v>494.29591494220404</v>
      </c>
      <c r="C35" s="39">
        <v>10</v>
      </c>
      <c r="D35" s="42">
        <f>'Demanda AGOSTO'!F82</f>
        <v>1.3214411282719782</v>
      </c>
      <c r="E35" s="39">
        <f t="shared" si="0"/>
        <v>6</v>
      </c>
      <c r="F35" s="39">
        <f>'Número de tranvías'!C25</f>
        <v>8</v>
      </c>
      <c r="G35" s="39">
        <f t="shared" si="1"/>
        <v>62</v>
      </c>
      <c r="H35" s="39">
        <f t="shared" si="2"/>
        <v>1728</v>
      </c>
      <c r="I35" s="39">
        <f t="shared" si="3"/>
        <v>654</v>
      </c>
      <c r="J35" s="43">
        <f t="shared" si="4"/>
        <v>0.62152777777777779</v>
      </c>
    </row>
    <row r="36" spans="1:10">
      <c r="A36" s="26" t="s">
        <v>22</v>
      </c>
      <c r="B36" s="41">
        <f>'Demanda AGOSTO'!G81</f>
        <v>490.07379483948569</v>
      </c>
      <c r="C36" s="39">
        <v>10</v>
      </c>
      <c r="D36" s="42">
        <f>'Demanda AGOSTO'!G82</f>
        <v>1.321441128271978</v>
      </c>
      <c r="E36" s="39">
        <f t="shared" si="0"/>
        <v>6</v>
      </c>
      <c r="F36" s="39">
        <f>'Número de tranvías'!C26</f>
        <v>8</v>
      </c>
      <c r="G36" s="39">
        <f t="shared" si="1"/>
        <v>62</v>
      </c>
      <c r="H36" s="39">
        <f t="shared" si="2"/>
        <v>1728</v>
      </c>
      <c r="I36" s="39">
        <f t="shared" si="3"/>
        <v>648</v>
      </c>
      <c r="J36" s="43">
        <f t="shared" si="4"/>
        <v>0.625</v>
      </c>
    </row>
    <row r="37" spans="1:10">
      <c r="A37" s="26" t="s">
        <v>23</v>
      </c>
      <c r="B37" s="41">
        <f>'Demanda AGOSTO'!H81</f>
        <v>505.81878438920609</v>
      </c>
      <c r="C37" s="39">
        <v>10</v>
      </c>
      <c r="D37" s="42">
        <f>'Demanda AGOSTO'!H82</f>
        <v>1.3214411282719776</v>
      </c>
      <c r="E37" s="39">
        <f t="shared" si="0"/>
        <v>6</v>
      </c>
      <c r="F37" s="39">
        <f>'Número de tranvías'!C27</f>
        <v>8</v>
      </c>
      <c r="G37" s="39">
        <f t="shared" si="1"/>
        <v>64</v>
      </c>
      <c r="H37" s="39">
        <f t="shared" si="2"/>
        <v>1728</v>
      </c>
      <c r="I37" s="39">
        <f t="shared" si="3"/>
        <v>669</v>
      </c>
      <c r="J37" s="43">
        <f t="shared" si="4"/>
        <v>0.61284722222222221</v>
      </c>
    </row>
    <row r="38" spans="1:10">
      <c r="A38" s="26" t="s">
        <v>24</v>
      </c>
      <c r="B38" s="41">
        <f>'Demanda AGOSTO'!I81</f>
        <v>573.15280394401657</v>
      </c>
      <c r="C38" s="39">
        <v>10</v>
      </c>
      <c r="D38" s="42">
        <f>'Demanda AGOSTO'!I82</f>
        <v>1.321441128271978</v>
      </c>
      <c r="E38" s="39">
        <f t="shared" si="0"/>
        <v>6</v>
      </c>
      <c r="F38" s="39">
        <f>'Número de tranvías'!C28</f>
        <v>8</v>
      </c>
      <c r="G38" s="39">
        <f t="shared" si="1"/>
        <v>72</v>
      </c>
      <c r="H38" s="39">
        <f t="shared" si="2"/>
        <v>1728</v>
      </c>
      <c r="I38" s="39">
        <f t="shared" si="3"/>
        <v>758</v>
      </c>
      <c r="J38" s="43">
        <f t="shared" si="4"/>
        <v>0.56134259259259256</v>
      </c>
    </row>
    <row r="39" spans="1:10">
      <c r="A39" s="26" t="s">
        <v>25</v>
      </c>
      <c r="B39" s="41">
        <f>'Demanda AGOSTO'!J81</f>
        <v>681.69647491806768</v>
      </c>
      <c r="C39" s="39">
        <v>10</v>
      </c>
      <c r="D39" s="42">
        <f>'Demanda AGOSTO'!J82</f>
        <v>1.3214411282719778</v>
      </c>
      <c r="E39" s="39">
        <f t="shared" si="0"/>
        <v>6</v>
      </c>
      <c r="F39" s="39">
        <f>'Número de tranvías'!C29</f>
        <v>8</v>
      </c>
      <c r="G39" s="39">
        <f t="shared" si="1"/>
        <v>86</v>
      </c>
      <c r="H39" s="39">
        <f t="shared" si="2"/>
        <v>1728</v>
      </c>
      <c r="I39" s="39">
        <f t="shared" si="3"/>
        <v>901</v>
      </c>
      <c r="J39" s="43">
        <f t="shared" si="4"/>
        <v>0.47858796296296291</v>
      </c>
    </row>
    <row r="40" spans="1:10">
      <c r="A40" s="26" t="s">
        <v>26</v>
      </c>
      <c r="B40" s="41">
        <f>'Demanda AGOSTO'!K81</f>
        <v>556.3083039508798</v>
      </c>
      <c r="C40" s="39">
        <v>10</v>
      </c>
      <c r="D40" s="42">
        <f>'Demanda AGOSTO'!K82</f>
        <v>1.321441128271978</v>
      </c>
      <c r="E40" s="39">
        <f t="shared" si="0"/>
        <v>6</v>
      </c>
      <c r="F40" s="39">
        <f>'Número de tranvías'!C30</f>
        <v>8</v>
      </c>
      <c r="G40" s="39">
        <f t="shared" si="1"/>
        <v>70</v>
      </c>
      <c r="H40" s="39">
        <f t="shared" si="2"/>
        <v>1728</v>
      </c>
      <c r="I40" s="39">
        <f t="shared" si="3"/>
        <v>736</v>
      </c>
      <c r="J40" s="43">
        <f t="shared" si="4"/>
        <v>0.57407407407407407</v>
      </c>
    </row>
    <row r="41" spans="1:10">
      <c r="A41" s="26" t="s">
        <v>27</v>
      </c>
      <c r="B41" s="41">
        <f>'Demanda AGOSTO'!L81</f>
        <v>548.52377001149296</v>
      </c>
      <c r="C41" s="39">
        <v>10</v>
      </c>
      <c r="D41" s="42">
        <f>'Demanda AGOSTO'!L82</f>
        <v>1.3214411282719778</v>
      </c>
      <c r="E41" s="39">
        <f t="shared" si="0"/>
        <v>6</v>
      </c>
      <c r="F41" s="39">
        <f>'Número de tranvías'!C31</f>
        <v>8</v>
      </c>
      <c r="G41" s="39">
        <f t="shared" si="1"/>
        <v>69</v>
      </c>
      <c r="H41" s="39">
        <f t="shared" si="2"/>
        <v>1728</v>
      </c>
      <c r="I41" s="39">
        <f t="shared" si="3"/>
        <v>725</v>
      </c>
      <c r="J41" s="43">
        <f t="shared" si="4"/>
        <v>0.58043981481481488</v>
      </c>
    </row>
    <row r="42" spans="1:10">
      <c r="A42" s="26" t="s">
        <v>28</v>
      </c>
      <c r="B42" s="41">
        <f>'Demanda AGOSTO'!M81</f>
        <v>556.08840186219652</v>
      </c>
      <c r="C42" s="39">
        <v>10</v>
      </c>
      <c r="D42" s="42">
        <f>'Demanda AGOSTO'!M82</f>
        <v>1.321441128271978</v>
      </c>
      <c r="E42" s="39">
        <f t="shared" si="0"/>
        <v>6</v>
      </c>
      <c r="F42" s="39">
        <f>'Número de tranvías'!C32</f>
        <v>8</v>
      </c>
      <c r="G42" s="39">
        <f t="shared" si="1"/>
        <v>70</v>
      </c>
      <c r="H42" s="39">
        <f t="shared" si="2"/>
        <v>1728</v>
      </c>
      <c r="I42" s="39">
        <f t="shared" si="3"/>
        <v>735</v>
      </c>
      <c r="J42" s="43">
        <f t="shared" si="4"/>
        <v>0.57465277777777779</v>
      </c>
    </row>
    <row r="43" spans="1:10">
      <c r="A43" s="26" t="s">
        <v>29</v>
      </c>
      <c r="B43" s="41">
        <f>'Demanda AGOSTO'!N81</f>
        <v>477.58335620227712</v>
      </c>
      <c r="C43" s="39">
        <v>10</v>
      </c>
      <c r="D43" s="42">
        <f>'Demanda AGOSTO'!N82</f>
        <v>1.3214411282719782</v>
      </c>
      <c r="E43" s="39">
        <f t="shared" si="0"/>
        <v>6</v>
      </c>
      <c r="F43" s="39">
        <f>'Número de tranvías'!C33</f>
        <v>8</v>
      </c>
      <c r="G43" s="39">
        <f t="shared" si="1"/>
        <v>60</v>
      </c>
      <c r="H43" s="39">
        <f t="shared" si="2"/>
        <v>1728</v>
      </c>
      <c r="I43" s="39">
        <f t="shared" si="3"/>
        <v>632</v>
      </c>
      <c r="J43" s="43">
        <f t="shared" si="4"/>
        <v>0.6342592592592593</v>
      </c>
    </row>
    <row r="44" spans="1:10">
      <c r="A44" s="26" t="s">
        <v>30</v>
      </c>
      <c r="B44" s="41">
        <f>'Demanda AGOSTO'!O81</f>
        <v>421.28842149936577</v>
      </c>
      <c r="C44" s="39">
        <v>10</v>
      </c>
      <c r="D44" s="42">
        <f>'Demanda AGOSTO'!O82</f>
        <v>1.3214411282719782</v>
      </c>
      <c r="E44" s="39">
        <f t="shared" si="0"/>
        <v>6</v>
      </c>
      <c r="F44" s="39">
        <f>'Número de tranvías'!C34</f>
        <v>8</v>
      </c>
      <c r="G44" s="39">
        <f t="shared" si="1"/>
        <v>53</v>
      </c>
      <c r="H44" s="39">
        <f t="shared" si="2"/>
        <v>1728</v>
      </c>
      <c r="I44" s="39">
        <f t="shared" si="3"/>
        <v>557</v>
      </c>
      <c r="J44" s="43">
        <f t="shared" si="4"/>
        <v>0.67766203703703698</v>
      </c>
    </row>
    <row r="45" spans="1:10">
      <c r="A45" s="26" t="s">
        <v>31</v>
      </c>
      <c r="B45" s="41">
        <f>'Demanda AGOSTO'!P81</f>
        <v>327.3462492138824</v>
      </c>
      <c r="C45" s="39">
        <v>10</v>
      </c>
      <c r="D45" s="42">
        <f>'Demanda AGOSTO'!P82</f>
        <v>1.3214411282719782</v>
      </c>
      <c r="E45" s="39">
        <f t="shared" si="0"/>
        <v>6</v>
      </c>
      <c r="F45" s="39">
        <f>'Número de tranvías'!C35</f>
        <v>8</v>
      </c>
      <c r="G45" s="39">
        <f t="shared" si="1"/>
        <v>41</v>
      </c>
      <c r="H45" s="39">
        <f t="shared" si="2"/>
        <v>1728</v>
      </c>
      <c r="I45" s="39">
        <f t="shared" si="3"/>
        <v>433</v>
      </c>
      <c r="J45" s="43">
        <f t="shared" si="4"/>
        <v>0.74942129629629628</v>
      </c>
    </row>
    <row r="46" spans="1:10" hidden="1">
      <c r="A46" s="26" t="s">
        <v>32</v>
      </c>
      <c r="B46" s="39"/>
      <c r="C46" s="29"/>
      <c r="D46" s="29"/>
      <c r="E46" s="29"/>
      <c r="F46" s="29"/>
      <c r="G46" s="29"/>
      <c r="H46" s="29"/>
      <c r="I46" s="29"/>
      <c r="J46" s="29"/>
    </row>
    <row r="47" spans="1:10" hidden="1">
      <c r="A47" s="26" t="s">
        <v>33</v>
      </c>
      <c r="B47" s="39"/>
      <c r="C47" s="29"/>
      <c r="D47" s="29"/>
      <c r="E47" s="29"/>
      <c r="F47" s="29"/>
      <c r="G47" s="29"/>
      <c r="H47" s="29"/>
      <c r="I47" s="29"/>
      <c r="J47" s="29"/>
    </row>
    <row r="48" spans="1:10" hidden="1">
      <c r="A48" s="26" t="s">
        <v>34</v>
      </c>
      <c r="B48" s="39"/>
      <c r="C48" s="29"/>
      <c r="D48" s="29"/>
      <c r="E48" s="29"/>
      <c r="F48" s="29"/>
      <c r="G48" s="29"/>
      <c r="H48" s="29"/>
      <c r="I48" s="29"/>
      <c r="J48" s="29"/>
    </row>
    <row r="50" spans="1:10">
      <c r="A50" s="102" t="s">
        <v>73</v>
      </c>
      <c r="B50" s="103"/>
      <c r="C50" s="103"/>
      <c r="D50" s="103"/>
      <c r="E50" s="103"/>
      <c r="F50" s="103"/>
      <c r="G50" s="104"/>
      <c r="H50" s="104"/>
      <c r="I50" s="104"/>
      <c r="J50" s="105"/>
    </row>
    <row r="51" spans="1:10" ht="45">
      <c r="A51" s="25" t="s">
        <v>10</v>
      </c>
      <c r="B51" s="25" t="s">
        <v>35</v>
      </c>
      <c r="C51" s="25" t="s">
        <v>36</v>
      </c>
      <c r="D51" s="25" t="s">
        <v>37</v>
      </c>
      <c r="E51" s="25" t="s">
        <v>38</v>
      </c>
      <c r="F51" s="25" t="s">
        <v>45</v>
      </c>
      <c r="G51" s="25" t="s">
        <v>44</v>
      </c>
      <c r="H51" s="25" t="s">
        <v>54</v>
      </c>
      <c r="I51" s="25" t="s">
        <v>39</v>
      </c>
      <c r="J51" s="25" t="s">
        <v>40</v>
      </c>
    </row>
    <row r="52" spans="1:10" hidden="1">
      <c r="A52" s="26" t="s">
        <v>11</v>
      </c>
      <c r="B52" s="39"/>
      <c r="C52" s="39"/>
      <c r="D52" s="39"/>
      <c r="E52" s="39"/>
      <c r="F52" s="39"/>
      <c r="G52" s="39"/>
      <c r="H52" s="39"/>
      <c r="I52" s="39"/>
      <c r="J52" s="39"/>
    </row>
    <row r="53" spans="1:10" hidden="1">
      <c r="A53" s="26" t="s">
        <v>12</v>
      </c>
      <c r="B53" s="39"/>
      <c r="C53" s="39"/>
      <c r="D53" s="39"/>
      <c r="E53" s="39"/>
      <c r="F53" s="39"/>
      <c r="G53" s="39"/>
      <c r="H53" s="39"/>
      <c r="I53" s="39"/>
      <c r="J53" s="39"/>
    </row>
    <row r="54" spans="1:10" hidden="1">
      <c r="A54" s="26" t="s">
        <v>13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hidden="1">
      <c r="A55" s="26" t="s">
        <v>14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hidden="1">
      <c r="A56" s="26" t="s">
        <v>15</v>
      </c>
      <c r="B56" s="39"/>
      <c r="C56" s="39"/>
      <c r="D56" s="39"/>
      <c r="E56" s="39"/>
      <c r="F56" s="39"/>
      <c r="G56" s="39"/>
      <c r="H56" s="39"/>
      <c r="I56" s="39"/>
      <c r="J56" s="39"/>
    </row>
    <row r="57" spans="1:10" hidden="1">
      <c r="A57" s="26" t="s">
        <v>16</v>
      </c>
      <c r="B57" s="39"/>
      <c r="C57" s="39"/>
      <c r="D57" s="39"/>
      <c r="E57" s="39"/>
      <c r="F57" s="39"/>
      <c r="G57" s="39"/>
      <c r="H57" s="39"/>
      <c r="I57" s="39"/>
      <c r="J57" s="39"/>
    </row>
    <row r="58" spans="1:10" hidden="1">
      <c r="A58" s="26" t="s">
        <v>17</v>
      </c>
      <c r="B58" s="39"/>
      <c r="C58" s="39"/>
      <c r="D58" s="39"/>
      <c r="E58" s="39"/>
      <c r="F58" s="39"/>
      <c r="G58" s="39"/>
      <c r="H58" s="39"/>
      <c r="I58" s="39"/>
      <c r="J58" s="39"/>
    </row>
    <row r="59" spans="1:10">
      <c r="A59" s="26" t="s">
        <v>18</v>
      </c>
      <c r="B59" s="41">
        <f>'Demanda AGOSTO'!T81</f>
        <v>655.80841529084569</v>
      </c>
      <c r="C59" s="39">
        <v>10</v>
      </c>
      <c r="D59" s="44">
        <f>'Demanda AGOSTO'!T82</f>
        <v>1.234124278804279</v>
      </c>
      <c r="E59" s="39">
        <f>ROUNDUP(60/C59,0)</f>
        <v>6</v>
      </c>
      <c r="F59" s="39">
        <f>F32</f>
        <v>8</v>
      </c>
      <c r="G59" s="39">
        <f>ROUNDUP(B59/F59,0)</f>
        <v>82</v>
      </c>
      <c r="H59" s="39">
        <f>E59*$G$21</f>
        <v>1728</v>
      </c>
      <c r="I59" s="39">
        <f>ROUNDUP(B59*D59,0)</f>
        <v>810</v>
      </c>
      <c r="J59" s="43">
        <f>1-(I59/H59)</f>
        <v>0.53125</v>
      </c>
    </row>
    <row r="60" spans="1:10">
      <c r="A60" s="26" t="s">
        <v>19</v>
      </c>
      <c r="B60" s="41">
        <f>'Demanda AGOSTO'!U81</f>
        <v>736.62487918215368</v>
      </c>
      <c r="C60" s="39">
        <v>10</v>
      </c>
      <c r="D60" s="44">
        <f>'Demanda AGOSTO'!U82</f>
        <v>1.2341242788042792</v>
      </c>
      <c r="E60" s="39">
        <f t="shared" ref="E60:E72" si="5">ROUNDUP(60/C60,0)</f>
        <v>6</v>
      </c>
      <c r="F60" s="39">
        <f t="shared" ref="F60:F72" si="6">F33</f>
        <v>8</v>
      </c>
      <c r="G60" s="39">
        <f t="shared" ref="G60:G72" si="7">ROUNDUP(B60/F60,0)</f>
        <v>93</v>
      </c>
      <c r="H60" s="39">
        <f t="shared" ref="H60:H72" si="8">E60*$G$21</f>
        <v>1728</v>
      </c>
      <c r="I60" s="39">
        <f t="shared" ref="I60:I72" si="9">ROUNDUP(B60*D60,0)</f>
        <v>910</v>
      </c>
      <c r="J60" s="43">
        <f t="shared" ref="J60:J72" si="10">1-(I60/H60)</f>
        <v>0.47337962962962965</v>
      </c>
    </row>
    <row r="61" spans="1:10">
      <c r="A61" s="26" t="s">
        <v>20</v>
      </c>
      <c r="B61" s="41">
        <f>'Demanda AGOSTO'!V81</f>
        <v>626.4503750656437</v>
      </c>
      <c r="C61" s="39">
        <v>10</v>
      </c>
      <c r="D61" s="44">
        <f>'Demanda AGOSTO'!V82</f>
        <v>1.2341242788042794</v>
      </c>
      <c r="E61" s="39">
        <f t="shared" si="5"/>
        <v>6</v>
      </c>
      <c r="F61" s="39">
        <f t="shared" si="6"/>
        <v>8</v>
      </c>
      <c r="G61" s="39">
        <f t="shared" si="7"/>
        <v>79</v>
      </c>
      <c r="H61" s="39">
        <f t="shared" si="8"/>
        <v>1728</v>
      </c>
      <c r="I61" s="39">
        <f t="shared" si="9"/>
        <v>774</v>
      </c>
      <c r="J61" s="43">
        <f t="shared" si="10"/>
        <v>0.55208333333333326</v>
      </c>
    </row>
    <row r="62" spans="1:10">
      <c r="A62" s="26" t="s">
        <v>21</v>
      </c>
      <c r="B62" s="41">
        <f>'Demanda AGOSTO'!W81</f>
        <v>613.29928269710535</v>
      </c>
      <c r="C62" s="39">
        <v>10</v>
      </c>
      <c r="D62" s="44">
        <f>'Demanda AGOSTO'!W82</f>
        <v>1.2341242788042792</v>
      </c>
      <c r="E62" s="39">
        <f t="shared" si="5"/>
        <v>6</v>
      </c>
      <c r="F62" s="39">
        <f t="shared" si="6"/>
        <v>8</v>
      </c>
      <c r="G62" s="39">
        <f t="shared" si="7"/>
        <v>77</v>
      </c>
      <c r="H62" s="39">
        <f t="shared" si="8"/>
        <v>1728</v>
      </c>
      <c r="I62" s="39">
        <f t="shared" si="9"/>
        <v>757</v>
      </c>
      <c r="J62" s="43">
        <f t="shared" si="10"/>
        <v>0.56192129629629628</v>
      </c>
    </row>
    <row r="63" spans="1:10">
      <c r="A63" s="26" t="s">
        <v>22</v>
      </c>
      <c r="B63" s="41">
        <f>'Demanda AGOSTO'!X81</f>
        <v>608.06067328889094</v>
      </c>
      <c r="C63" s="39">
        <v>10</v>
      </c>
      <c r="D63" s="44">
        <f>'Demanda AGOSTO'!X82</f>
        <v>1.2341242788042794</v>
      </c>
      <c r="E63" s="39">
        <f t="shared" si="5"/>
        <v>6</v>
      </c>
      <c r="F63" s="39">
        <f t="shared" si="6"/>
        <v>8</v>
      </c>
      <c r="G63" s="39">
        <f t="shared" si="7"/>
        <v>77</v>
      </c>
      <c r="H63" s="39">
        <f t="shared" si="8"/>
        <v>1728</v>
      </c>
      <c r="I63" s="39">
        <f t="shared" si="9"/>
        <v>751</v>
      </c>
      <c r="J63" s="43">
        <f t="shared" si="10"/>
        <v>0.5653935185185186</v>
      </c>
    </row>
    <row r="64" spans="1:10">
      <c r="A64" s="26" t="s">
        <v>23</v>
      </c>
      <c r="B64" s="41">
        <f>'Demanda AGOSTO'!Y81</f>
        <v>627.59632087369062</v>
      </c>
      <c r="C64" s="39">
        <v>10</v>
      </c>
      <c r="D64" s="44">
        <f>'Demanda AGOSTO'!Y82</f>
        <v>1.2341242788042794</v>
      </c>
      <c r="E64" s="39">
        <f t="shared" si="5"/>
        <v>6</v>
      </c>
      <c r="F64" s="39">
        <f t="shared" si="6"/>
        <v>8</v>
      </c>
      <c r="G64" s="39">
        <f t="shared" si="7"/>
        <v>79</v>
      </c>
      <c r="H64" s="39">
        <f t="shared" si="8"/>
        <v>1728</v>
      </c>
      <c r="I64" s="39">
        <f t="shared" si="9"/>
        <v>775</v>
      </c>
      <c r="J64" s="43">
        <f t="shared" si="10"/>
        <v>0.55150462962962965</v>
      </c>
    </row>
    <row r="65" spans="1:10">
      <c r="A65" s="26" t="s">
        <v>24</v>
      </c>
      <c r="B65" s="41">
        <f>'Demanda AGOSTO'!Z81</f>
        <v>711.14122716511054</v>
      </c>
      <c r="C65" s="39">
        <v>10</v>
      </c>
      <c r="D65" s="44">
        <f>'Demanda AGOSTO'!Z82</f>
        <v>1.2341242788042794</v>
      </c>
      <c r="E65" s="39">
        <f t="shared" si="5"/>
        <v>6</v>
      </c>
      <c r="F65" s="39">
        <f t="shared" si="6"/>
        <v>8</v>
      </c>
      <c r="G65" s="39">
        <f t="shared" si="7"/>
        <v>89</v>
      </c>
      <c r="H65" s="39">
        <f t="shared" si="8"/>
        <v>1728</v>
      </c>
      <c r="I65" s="39">
        <f t="shared" si="9"/>
        <v>878</v>
      </c>
      <c r="J65" s="43">
        <f t="shared" si="10"/>
        <v>0.49189814814814814</v>
      </c>
    </row>
    <row r="66" spans="1:10">
      <c r="A66" s="26" t="s">
        <v>25</v>
      </c>
      <c r="B66" s="41">
        <f>'Demanda AGOSTO'!AA81</f>
        <v>845.81714403462342</v>
      </c>
      <c r="C66" s="39">
        <v>10</v>
      </c>
      <c r="D66" s="44">
        <f>'Demanda AGOSTO'!AA82</f>
        <v>1.2341242788042794</v>
      </c>
      <c r="E66" s="39">
        <f t="shared" si="5"/>
        <v>6</v>
      </c>
      <c r="F66" s="39">
        <f t="shared" si="6"/>
        <v>8</v>
      </c>
      <c r="G66" s="39">
        <f t="shared" si="7"/>
        <v>106</v>
      </c>
      <c r="H66" s="39">
        <f t="shared" si="8"/>
        <v>1728</v>
      </c>
      <c r="I66" s="39">
        <f t="shared" si="9"/>
        <v>1044</v>
      </c>
      <c r="J66" s="43">
        <f t="shared" si="10"/>
        <v>0.39583333333333337</v>
      </c>
    </row>
    <row r="67" spans="1:10">
      <c r="A67" s="26" t="s">
        <v>26</v>
      </c>
      <c r="B67" s="41">
        <f>'Demanda AGOSTO'!AB81</f>
        <v>690.24135838025495</v>
      </c>
      <c r="C67" s="39">
        <v>10</v>
      </c>
      <c r="D67" s="44">
        <f>'Demanda AGOSTO'!AB82</f>
        <v>1.2341242788042794</v>
      </c>
      <c r="E67" s="39">
        <f t="shared" si="5"/>
        <v>6</v>
      </c>
      <c r="F67" s="39">
        <f t="shared" si="6"/>
        <v>8</v>
      </c>
      <c r="G67" s="39">
        <f t="shared" si="7"/>
        <v>87</v>
      </c>
      <c r="H67" s="39">
        <f t="shared" si="8"/>
        <v>1728</v>
      </c>
      <c r="I67" s="39">
        <f t="shared" si="9"/>
        <v>852</v>
      </c>
      <c r="J67" s="43">
        <f t="shared" si="10"/>
        <v>0.50694444444444442</v>
      </c>
    </row>
    <row r="68" spans="1:10">
      <c r="A68" s="26" t="s">
        <v>27</v>
      </c>
      <c r="B68" s="41">
        <f>'Demanda AGOSTO'!AC81</f>
        <v>680.58267228385989</v>
      </c>
      <c r="C68" s="39">
        <v>10</v>
      </c>
      <c r="D68" s="44">
        <f>'Demanda AGOSTO'!AC82</f>
        <v>1.2341242788042792</v>
      </c>
      <c r="E68" s="39">
        <f t="shared" si="5"/>
        <v>6</v>
      </c>
      <c r="F68" s="39">
        <f t="shared" si="6"/>
        <v>8</v>
      </c>
      <c r="G68" s="39">
        <f t="shared" si="7"/>
        <v>86</v>
      </c>
      <c r="H68" s="39">
        <f t="shared" si="8"/>
        <v>1728</v>
      </c>
      <c r="I68" s="39">
        <f t="shared" si="9"/>
        <v>840</v>
      </c>
      <c r="J68" s="43">
        <f t="shared" si="10"/>
        <v>0.51388888888888884</v>
      </c>
    </row>
    <row r="69" spans="1:10">
      <c r="A69" s="26" t="s">
        <v>28</v>
      </c>
      <c r="B69" s="41">
        <f>'Demanda AGOSTO'!AD81</f>
        <v>689.968514140244</v>
      </c>
      <c r="C69" s="39">
        <v>10</v>
      </c>
      <c r="D69" s="44">
        <f>'Demanda AGOSTO'!AD82</f>
        <v>1.2341242788042792</v>
      </c>
      <c r="E69" s="39">
        <f t="shared" si="5"/>
        <v>6</v>
      </c>
      <c r="F69" s="39">
        <f t="shared" si="6"/>
        <v>8</v>
      </c>
      <c r="G69" s="39">
        <f t="shared" si="7"/>
        <v>87</v>
      </c>
      <c r="H69" s="39">
        <f t="shared" si="8"/>
        <v>1728</v>
      </c>
      <c r="I69" s="39">
        <f t="shared" si="9"/>
        <v>852</v>
      </c>
      <c r="J69" s="43">
        <f t="shared" si="10"/>
        <v>0.50694444444444442</v>
      </c>
    </row>
    <row r="70" spans="1:10">
      <c r="A70" s="26" t="s">
        <v>29</v>
      </c>
      <c r="B70" s="41">
        <f>'Demanda AGOSTO'!AE81</f>
        <v>592.56312045625657</v>
      </c>
      <c r="C70" s="39">
        <v>10</v>
      </c>
      <c r="D70" s="44">
        <f>'Demanda AGOSTO'!AE82</f>
        <v>1.2341242788042797</v>
      </c>
      <c r="E70" s="39">
        <f t="shared" si="5"/>
        <v>6</v>
      </c>
      <c r="F70" s="39">
        <f t="shared" si="6"/>
        <v>8</v>
      </c>
      <c r="G70" s="39">
        <f t="shared" si="7"/>
        <v>75</v>
      </c>
      <c r="H70" s="39">
        <f t="shared" si="8"/>
        <v>1728</v>
      </c>
      <c r="I70" s="39">
        <f t="shared" si="9"/>
        <v>732</v>
      </c>
      <c r="J70" s="43">
        <f t="shared" si="10"/>
        <v>0.57638888888888884</v>
      </c>
    </row>
    <row r="71" spans="1:10">
      <c r="A71" s="26" t="s">
        <v>30</v>
      </c>
      <c r="B71" s="41">
        <f>'Demanda AGOSTO'!AF81</f>
        <v>522.71499501339724</v>
      </c>
      <c r="C71" s="39">
        <v>10</v>
      </c>
      <c r="D71" s="44">
        <f>'Demanda AGOSTO'!AF82</f>
        <v>1.2341242788042797</v>
      </c>
      <c r="E71" s="39">
        <f t="shared" si="5"/>
        <v>6</v>
      </c>
      <c r="F71" s="39">
        <f t="shared" si="6"/>
        <v>8</v>
      </c>
      <c r="G71" s="39">
        <f t="shared" si="7"/>
        <v>66</v>
      </c>
      <c r="H71" s="39">
        <f t="shared" si="8"/>
        <v>1728</v>
      </c>
      <c r="I71" s="39">
        <f t="shared" si="9"/>
        <v>646</v>
      </c>
      <c r="J71" s="43">
        <f t="shared" si="10"/>
        <v>0.62615740740740744</v>
      </c>
    </row>
    <row r="72" spans="1:10">
      <c r="A72" s="26" t="s">
        <v>31</v>
      </c>
      <c r="B72" s="41">
        <f>'Demanda AGOSTO'!AG81</f>
        <v>406.15593568062593</v>
      </c>
      <c r="C72" s="39">
        <v>10</v>
      </c>
      <c r="D72" s="44">
        <f>'Demanda AGOSTO'!AG82</f>
        <v>1.2341242788042797</v>
      </c>
      <c r="E72" s="39">
        <f t="shared" si="5"/>
        <v>6</v>
      </c>
      <c r="F72" s="39">
        <f t="shared" si="6"/>
        <v>8</v>
      </c>
      <c r="G72" s="39">
        <f t="shared" si="7"/>
        <v>51</v>
      </c>
      <c r="H72" s="39">
        <f t="shared" si="8"/>
        <v>1728</v>
      </c>
      <c r="I72" s="39">
        <f t="shared" si="9"/>
        <v>502</v>
      </c>
      <c r="J72" s="43">
        <f t="shared" si="10"/>
        <v>0.7094907407407407</v>
      </c>
    </row>
    <row r="73" spans="1:10" hidden="1">
      <c r="A73" s="26" t="s">
        <v>32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hidden="1">
      <c r="A74" s="26" t="s">
        <v>33</v>
      </c>
      <c r="B74" s="39"/>
      <c r="C74" s="39"/>
      <c r="D74" s="39"/>
      <c r="E74" s="39"/>
      <c r="F74" s="39"/>
      <c r="G74" s="39"/>
      <c r="H74" s="39"/>
      <c r="I74" s="39"/>
      <c r="J74" s="39"/>
    </row>
    <row r="75" spans="1:10" hidden="1">
      <c r="A75" s="26" t="s">
        <v>34</v>
      </c>
      <c r="B75" s="39"/>
      <c r="C75" s="39"/>
      <c r="D75" s="39"/>
      <c r="E75" s="39"/>
      <c r="F75" s="39"/>
      <c r="G75" s="39"/>
      <c r="H75" s="39"/>
      <c r="I75" s="39"/>
      <c r="J75" s="39"/>
    </row>
  </sheetData>
  <mergeCells count="7">
    <mergeCell ref="A1:B1"/>
    <mergeCell ref="A23:J23"/>
    <mergeCell ref="A50:J50"/>
    <mergeCell ref="G1:G2"/>
    <mergeCell ref="H1:H2"/>
    <mergeCell ref="I1:I2"/>
    <mergeCell ref="J1:J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CB55-51AA-4457-857A-3152556019CB}">
  <dimension ref="A1:G38"/>
  <sheetViews>
    <sheetView workbookViewId="0">
      <selection activeCell="C9" sqref="C9"/>
    </sheetView>
  </sheetViews>
  <sheetFormatPr baseColWidth="10" defaultRowHeight="15"/>
  <cols>
    <col min="1" max="1" width="38" customWidth="1"/>
    <col min="2" max="3" width="24.7109375" bestFit="1" customWidth="1"/>
    <col min="5" max="5" width="37.7109375" bestFit="1" customWidth="1"/>
    <col min="6" max="7" width="24.7109375" bestFit="1" customWidth="1"/>
  </cols>
  <sheetData>
    <row r="1" spans="1:7">
      <c r="A1" s="108" t="s">
        <v>151</v>
      </c>
      <c r="B1" s="109"/>
      <c r="C1" s="100"/>
      <c r="E1" s="108" t="s">
        <v>152</v>
      </c>
      <c r="F1" s="109"/>
      <c r="G1" s="99"/>
    </row>
    <row r="2" spans="1:7" ht="15" customHeight="1">
      <c r="A2" s="29"/>
      <c r="B2" s="25" t="s">
        <v>70</v>
      </c>
      <c r="C2" s="25" t="s">
        <v>71</v>
      </c>
      <c r="E2" s="29"/>
      <c r="F2" s="25" t="s">
        <v>70</v>
      </c>
      <c r="G2" s="25" t="s">
        <v>71</v>
      </c>
    </row>
    <row r="3" spans="1:7" ht="15" customHeight="1">
      <c r="A3" s="25" t="s">
        <v>46</v>
      </c>
      <c r="B3" s="30">
        <v>10888.78</v>
      </c>
      <c r="C3" s="30">
        <v>10873.61</v>
      </c>
      <c r="E3" s="25" t="s">
        <v>46</v>
      </c>
      <c r="F3" s="30">
        <v>10888.78</v>
      </c>
      <c r="G3" s="30">
        <v>10873.61</v>
      </c>
    </row>
    <row r="4" spans="1:7" ht="15" customHeight="1">
      <c r="A4" s="25" t="s">
        <v>47</v>
      </c>
      <c r="B4" s="30">
        <v>33.5</v>
      </c>
      <c r="C4" s="30">
        <v>33.229999999999997</v>
      </c>
      <c r="E4" s="25" t="s">
        <v>47</v>
      </c>
      <c r="F4" s="30">
        <v>33.5</v>
      </c>
      <c r="G4" s="30">
        <v>33.229999999999997</v>
      </c>
    </row>
    <row r="5" spans="1:7" ht="15" customHeight="1">
      <c r="A5" s="25" t="s">
        <v>48</v>
      </c>
      <c r="B5" s="30">
        <f t="shared" ref="B5" si="0">B3/1000*60/B4</f>
        <v>19.502292537313433</v>
      </c>
      <c r="C5" s="30">
        <f>C3/1000*60/C4</f>
        <v>19.633361420403251</v>
      </c>
      <c r="E5" s="25" t="s">
        <v>48</v>
      </c>
      <c r="F5" s="30">
        <f t="shared" ref="F5" si="1">F3/1000*60/F4</f>
        <v>19.502292537313433</v>
      </c>
      <c r="G5" s="30">
        <f>G3/1000*60/G4</f>
        <v>19.633361420403251</v>
      </c>
    </row>
    <row r="6" spans="1:7" ht="15" customHeight="1">
      <c r="A6" s="25" t="s">
        <v>49</v>
      </c>
      <c r="B6" s="30">
        <f t="array" ref="B6">MIN(IF(B15:B38&gt;0,B15:B38))</f>
        <v>10</v>
      </c>
      <c r="C6" s="30">
        <f>B6</f>
        <v>10</v>
      </c>
      <c r="E6" s="25" t="s">
        <v>49</v>
      </c>
      <c r="F6" s="30">
        <f t="array" ref="F6">MIN(IF(F15:F38&gt;0,F15:F38))</f>
        <v>12</v>
      </c>
      <c r="G6" s="30">
        <f>F6</f>
        <v>12</v>
      </c>
    </row>
    <row r="7" spans="1:7" ht="15" customHeight="1">
      <c r="A7" s="25" t="s">
        <v>68</v>
      </c>
      <c r="B7" s="30">
        <v>8</v>
      </c>
      <c r="C7" s="30">
        <v>0</v>
      </c>
      <c r="E7" s="25" t="s">
        <v>68</v>
      </c>
      <c r="F7" s="30">
        <v>6</v>
      </c>
      <c r="G7" s="30">
        <v>0</v>
      </c>
    </row>
    <row r="8" spans="1:7" ht="15" customHeight="1">
      <c r="A8" s="25" t="s">
        <v>69</v>
      </c>
      <c r="B8" s="30"/>
      <c r="C8" s="30">
        <v>5</v>
      </c>
      <c r="E8" s="25" t="s">
        <v>69</v>
      </c>
      <c r="F8" s="30"/>
      <c r="G8" s="30">
        <v>7</v>
      </c>
    </row>
    <row r="9" spans="1:7" ht="15" customHeight="1">
      <c r="A9" s="31"/>
      <c r="B9" s="32"/>
      <c r="C9" s="32"/>
      <c r="E9" s="31"/>
      <c r="F9" s="32"/>
      <c r="G9" s="32"/>
    </row>
    <row r="10" spans="1:7" ht="15" customHeight="1">
      <c r="A10" s="25" t="s">
        <v>50</v>
      </c>
      <c r="B10" s="33">
        <f>B4+C4+B7+C80+C8</f>
        <v>79.72999999999999</v>
      </c>
      <c r="C10" s="33"/>
      <c r="E10" s="25" t="s">
        <v>50</v>
      </c>
      <c r="F10" s="33">
        <f>F4+G4+F7+G80+G8</f>
        <v>79.72999999999999</v>
      </c>
      <c r="G10" s="33"/>
    </row>
    <row r="11" spans="1:7" ht="15" customHeight="1">
      <c r="A11" s="34"/>
      <c r="B11" s="32"/>
      <c r="C11" s="32"/>
      <c r="E11" s="34"/>
      <c r="F11" s="32"/>
      <c r="G11" s="32"/>
    </row>
    <row r="12" spans="1:7" ht="15" customHeight="1">
      <c r="A12" s="25" t="s">
        <v>51</v>
      </c>
      <c r="B12" s="35">
        <f>MAX(ROUNDUP(B10/B6,0),ROUNDUP(C10/C6,0))</f>
        <v>8</v>
      </c>
      <c r="C12" s="36"/>
      <c r="E12" s="25" t="s">
        <v>51</v>
      </c>
      <c r="F12" s="35">
        <f>MAX(ROUNDUP(F10/F6,0),ROUNDUP(G10/G6,0))</f>
        <v>7</v>
      </c>
      <c r="G12" s="36"/>
    </row>
    <row r="14" spans="1:7" ht="15" customHeight="1">
      <c r="A14" s="40" t="s">
        <v>10</v>
      </c>
      <c r="B14" s="25" t="s">
        <v>52</v>
      </c>
      <c r="C14" s="25" t="s">
        <v>53</v>
      </c>
      <c r="E14" s="40" t="s">
        <v>10</v>
      </c>
      <c r="F14" s="25" t="s">
        <v>52</v>
      </c>
      <c r="G14" s="25" t="s">
        <v>53</v>
      </c>
    </row>
    <row r="15" spans="1:7">
      <c r="A15" s="37" t="s">
        <v>11</v>
      </c>
      <c r="B15" s="38">
        <v>40</v>
      </c>
      <c r="C15" s="39">
        <f>IF(B15&lt;&gt;0,ROUNDUP($B$10/B15,0),0)</f>
        <v>2</v>
      </c>
      <c r="E15" s="37" t="s">
        <v>11</v>
      </c>
      <c r="F15" s="38">
        <v>40</v>
      </c>
      <c r="G15" s="39">
        <f>IF(F15&lt;&gt;0,ROUNDUP($B$10/F15,0),0)</f>
        <v>2</v>
      </c>
    </row>
    <row r="16" spans="1:7">
      <c r="A16" s="37" t="s">
        <v>12</v>
      </c>
      <c r="B16" s="38">
        <v>40</v>
      </c>
      <c r="C16" s="39">
        <f t="shared" ref="C16:C38" si="2">IF(B16&lt;&gt;0,ROUNDUP($B$10/B16,0),0)</f>
        <v>2</v>
      </c>
      <c r="E16" s="37" t="s">
        <v>12</v>
      </c>
      <c r="F16" s="38">
        <v>40</v>
      </c>
      <c r="G16" s="39">
        <f t="shared" ref="G16:G38" si="3">IF(F16&lt;&gt;0,ROUNDUP($B$10/F16,0),0)</f>
        <v>2</v>
      </c>
    </row>
    <row r="17" spans="1:7">
      <c r="A17" s="37" t="s">
        <v>13</v>
      </c>
      <c r="B17" s="38">
        <v>0</v>
      </c>
      <c r="C17" s="39">
        <f t="shared" si="2"/>
        <v>0</v>
      </c>
      <c r="E17" s="37" t="s">
        <v>13</v>
      </c>
      <c r="F17" s="38">
        <v>0</v>
      </c>
      <c r="G17" s="39">
        <f t="shared" si="3"/>
        <v>0</v>
      </c>
    </row>
    <row r="18" spans="1:7">
      <c r="A18" s="37" t="s">
        <v>14</v>
      </c>
      <c r="B18" s="38">
        <v>0</v>
      </c>
      <c r="C18" s="39">
        <f t="shared" si="2"/>
        <v>0</v>
      </c>
      <c r="E18" s="37" t="s">
        <v>14</v>
      </c>
      <c r="F18" s="38">
        <v>0</v>
      </c>
      <c r="G18" s="39">
        <f t="shared" si="3"/>
        <v>0</v>
      </c>
    </row>
    <row r="19" spans="1:7">
      <c r="A19" s="37" t="s">
        <v>15</v>
      </c>
      <c r="B19" s="38">
        <v>40</v>
      </c>
      <c r="C19" s="39">
        <f t="shared" si="2"/>
        <v>2</v>
      </c>
      <c r="E19" s="37" t="s">
        <v>15</v>
      </c>
      <c r="F19" s="38">
        <v>40</v>
      </c>
      <c r="G19" s="39">
        <f t="shared" si="3"/>
        <v>2</v>
      </c>
    </row>
    <row r="20" spans="1:7">
      <c r="A20" s="37" t="s">
        <v>16</v>
      </c>
      <c r="B20" s="38">
        <v>40</v>
      </c>
      <c r="C20" s="39">
        <f t="shared" si="2"/>
        <v>2</v>
      </c>
      <c r="E20" s="37" t="s">
        <v>16</v>
      </c>
      <c r="F20" s="38">
        <v>40</v>
      </c>
      <c r="G20" s="39">
        <f t="shared" si="3"/>
        <v>2</v>
      </c>
    </row>
    <row r="21" spans="1:7">
      <c r="A21" s="37" t="s">
        <v>17</v>
      </c>
      <c r="B21" s="38">
        <v>20</v>
      </c>
      <c r="C21" s="39">
        <f t="shared" si="2"/>
        <v>4</v>
      </c>
      <c r="E21" s="37" t="s">
        <v>17</v>
      </c>
      <c r="F21" s="38">
        <v>20</v>
      </c>
      <c r="G21" s="39">
        <f t="shared" si="3"/>
        <v>4</v>
      </c>
    </row>
    <row r="22" spans="1:7">
      <c r="A22" s="37" t="s">
        <v>18</v>
      </c>
      <c r="B22" s="38">
        <v>10</v>
      </c>
      <c r="C22" s="39">
        <f t="shared" si="2"/>
        <v>8</v>
      </c>
      <c r="E22" s="37" t="s">
        <v>18</v>
      </c>
      <c r="F22" s="38">
        <v>12</v>
      </c>
      <c r="G22" s="39">
        <f t="shared" si="3"/>
        <v>7</v>
      </c>
    </row>
    <row r="23" spans="1:7">
      <c r="A23" s="37" t="s">
        <v>19</v>
      </c>
      <c r="B23" s="38">
        <v>10</v>
      </c>
      <c r="C23" s="39">
        <f t="shared" si="2"/>
        <v>8</v>
      </c>
      <c r="E23" s="37" t="s">
        <v>19</v>
      </c>
      <c r="F23" s="38">
        <v>12</v>
      </c>
      <c r="G23" s="39">
        <f t="shared" si="3"/>
        <v>7</v>
      </c>
    </row>
    <row r="24" spans="1:7">
      <c r="A24" s="37" t="s">
        <v>20</v>
      </c>
      <c r="B24" s="38">
        <v>10</v>
      </c>
      <c r="C24" s="39">
        <f t="shared" si="2"/>
        <v>8</v>
      </c>
      <c r="E24" s="37" t="s">
        <v>20</v>
      </c>
      <c r="F24" s="38">
        <v>12</v>
      </c>
      <c r="G24" s="39">
        <f t="shared" si="3"/>
        <v>7</v>
      </c>
    </row>
    <row r="25" spans="1:7">
      <c r="A25" s="37" t="s">
        <v>21</v>
      </c>
      <c r="B25" s="38">
        <v>10</v>
      </c>
      <c r="C25" s="39">
        <f t="shared" si="2"/>
        <v>8</v>
      </c>
      <c r="E25" s="37" t="s">
        <v>21</v>
      </c>
      <c r="F25" s="38">
        <v>12</v>
      </c>
      <c r="G25" s="39">
        <f t="shared" si="3"/>
        <v>7</v>
      </c>
    </row>
    <row r="26" spans="1:7">
      <c r="A26" s="37" t="s">
        <v>22</v>
      </c>
      <c r="B26" s="38">
        <v>10</v>
      </c>
      <c r="C26" s="39">
        <f t="shared" si="2"/>
        <v>8</v>
      </c>
      <c r="E26" s="37" t="s">
        <v>22</v>
      </c>
      <c r="F26" s="38">
        <v>12</v>
      </c>
      <c r="G26" s="39">
        <f t="shared" si="3"/>
        <v>7</v>
      </c>
    </row>
    <row r="27" spans="1:7">
      <c r="A27" s="37" t="s">
        <v>23</v>
      </c>
      <c r="B27" s="38">
        <v>10</v>
      </c>
      <c r="C27" s="39">
        <f t="shared" si="2"/>
        <v>8</v>
      </c>
      <c r="E27" s="37" t="s">
        <v>23</v>
      </c>
      <c r="F27" s="38">
        <v>12</v>
      </c>
      <c r="G27" s="39">
        <f t="shared" si="3"/>
        <v>7</v>
      </c>
    </row>
    <row r="28" spans="1:7">
      <c r="A28" s="37" t="s">
        <v>24</v>
      </c>
      <c r="B28" s="38">
        <v>10</v>
      </c>
      <c r="C28" s="39">
        <f t="shared" si="2"/>
        <v>8</v>
      </c>
      <c r="E28" s="37" t="s">
        <v>24</v>
      </c>
      <c r="F28" s="38">
        <v>12</v>
      </c>
      <c r="G28" s="39">
        <f t="shared" si="3"/>
        <v>7</v>
      </c>
    </row>
    <row r="29" spans="1:7">
      <c r="A29" s="37" t="s">
        <v>25</v>
      </c>
      <c r="B29" s="38">
        <v>10</v>
      </c>
      <c r="C29" s="39">
        <f t="shared" si="2"/>
        <v>8</v>
      </c>
      <c r="E29" s="37" t="s">
        <v>25</v>
      </c>
      <c r="F29" s="38">
        <v>12</v>
      </c>
      <c r="G29" s="39">
        <f t="shared" si="3"/>
        <v>7</v>
      </c>
    </row>
    <row r="30" spans="1:7">
      <c r="A30" s="37" t="s">
        <v>26</v>
      </c>
      <c r="B30" s="38">
        <v>10</v>
      </c>
      <c r="C30" s="39">
        <f t="shared" si="2"/>
        <v>8</v>
      </c>
      <c r="E30" s="37" t="s">
        <v>26</v>
      </c>
      <c r="F30" s="38">
        <v>12</v>
      </c>
      <c r="G30" s="39">
        <f t="shared" si="3"/>
        <v>7</v>
      </c>
    </row>
    <row r="31" spans="1:7">
      <c r="A31" s="37" t="s">
        <v>27</v>
      </c>
      <c r="B31" s="38">
        <v>10</v>
      </c>
      <c r="C31" s="39">
        <f t="shared" si="2"/>
        <v>8</v>
      </c>
      <c r="E31" s="37" t="s">
        <v>27</v>
      </c>
      <c r="F31" s="38">
        <v>12</v>
      </c>
      <c r="G31" s="39">
        <f t="shared" si="3"/>
        <v>7</v>
      </c>
    </row>
    <row r="32" spans="1:7">
      <c r="A32" s="37" t="s">
        <v>28</v>
      </c>
      <c r="B32" s="38">
        <v>10</v>
      </c>
      <c r="C32" s="39">
        <f t="shared" si="2"/>
        <v>8</v>
      </c>
      <c r="E32" s="37" t="s">
        <v>28</v>
      </c>
      <c r="F32" s="38">
        <v>12</v>
      </c>
      <c r="G32" s="39">
        <f t="shared" si="3"/>
        <v>7</v>
      </c>
    </row>
    <row r="33" spans="1:7">
      <c r="A33" s="37" t="s">
        <v>29</v>
      </c>
      <c r="B33" s="38">
        <v>10</v>
      </c>
      <c r="C33" s="39">
        <f t="shared" si="2"/>
        <v>8</v>
      </c>
      <c r="E33" s="37" t="s">
        <v>29</v>
      </c>
      <c r="F33" s="38">
        <v>12</v>
      </c>
      <c r="G33" s="39">
        <f t="shared" si="3"/>
        <v>7</v>
      </c>
    </row>
    <row r="34" spans="1:7">
      <c r="A34" s="37" t="s">
        <v>30</v>
      </c>
      <c r="B34" s="38">
        <v>10</v>
      </c>
      <c r="C34" s="39">
        <f t="shared" si="2"/>
        <v>8</v>
      </c>
      <c r="E34" s="37" t="s">
        <v>30</v>
      </c>
      <c r="F34" s="38">
        <v>12</v>
      </c>
      <c r="G34" s="39">
        <f t="shared" si="3"/>
        <v>7</v>
      </c>
    </row>
    <row r="35" spans="1:7">
      <c r="A35" s="37" t="s">
        <v>31</v>
      </c>
      <c r="B35" s="38">
        <v>10</v>
      </c>
      <c r="C35" s="39">
        <f t="shared" si="2"/>
        <v>8</v>
      </c>
      <c r="E35" s="37" t="s">
        <v>31</v>
      </c>
      <c r="F35" s="38">
        <v>12</v>
      </c>
      <c r="G35" s="39">
        <f t="shared" si="3"/>
        <v>7</v>
      </c>
    </row>
    <row r="36" spans="1:7">
      <c r="A36" s="37" t="s">
        <v>32</v>
      </c>
      <c r="B36" s="38">
        <v>20</v>
      </c>
      <c r="C36" s="39">
        <f t="shared" si="2"/>
        <v>4</v>
      </c>
      <c r="E36" s="37" t="s">
        <v>32</v>
      </c>
      <c r="F36" s="38">
        <v>20</v>
      </c>
      <c r="G36" s="39">
        <f t="shared" si="3"/>
        <v>4</v>
      </c>
    </row>
    <row r="37" spans="1:7">
      <c r="A37" s="37" t="s">
        <v>33</v>
      </c>
      <c r="B37" s="38">
        <v>20</v>
      </c>
      <c r="C37" s="39">
        <f t="shared" si="2"/>
        <v>4</v>
      </c>
      <c r="E37" s="37" t="s">
        <v>33</v>
      </c>
      <c r="F37" s="38">
        <v>20</v>
      </c>
      <c r="G37" s="39">
        <f t="shared" si="3"/>
        <v>4</v>
      </c>
    </row>
    <row r="38" spans="1:7">
      <c r="A38" s="37" t="s">
        <v>34</v>
      </c>
      <c r="B38" s="38">
        <v>20</v>
      </c>
      <c r="C38" s="39">
        <f t="shared" si="2"/>
        <v>4</v>
      </c>
      <c r="E38" s="37" t="s">
        <v>34</v>
      </c>
      <c r="F38" s="38">
        <v>20</v>
      </c>
      <c r="G38" s="39">
        <f t="shared" si="3"/>
        <v>4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0A43-8E36-45BB-A932-ECB90D5EE5CE}">
  <dimension ref="A1:H25"/>
  <sheetViews>
    <sheetView workbookViewId="0">
      <selection sqref="A1:H25"/>
    </sheetView>
  </sheetViews>
  <sheetFormatPr baseColWidth="10" defaultRowHeight="15"/>
  <cols>
    <col min="2" max="2" width="11.42578125" style="47"/>
    <col min="3" max="3" width="17.5703125" style="47" bestFit="1" customWidth="1"/>
    <col min="4" max="4" width="13" style="47" bestFit="1" customWidth="1"/>
    <col min="5" max="6" width="11.42578125" style="47"/>
    <col min="7" max="7" width="17.5703125" style="47" bestFit="1" customWidth="1"/>
    <col min="8" max="8" width="13" bestFit="1" customWidth="1"/>
  </cols>
  <sheetData>
    <row r="1" spans="1:8">
      <c r="A1" s="48" t="s">
        <v>147</v>
      </c>
    </row>
    <row r="2" spans="1:8">
      <c r="B2" s="108" t="s">
        <v>151</v>
      </c>
      <c r="C2" s="109"/>
      <c r="D2" s="100"/>
      <c r="F2" s="108" t="s">
        <v>152</v>
      </c>
      <c r="G2" s="109"/>
      <c r="H2" s="99"/>
    </row>
    <row r="3" spans="1:8">
      <c r="B3" s="40" t="s">
        <v>148</v>
      </c>
      <c r="C3" s="40" t="s">
        <v>149</v>
      </c>
      <c r="D3" s="40" t="s">
        <v>150</v>
      </c>
      <c r="E3" s="49"/>
      <c r="F3" s="40" t="s">
        <v>148</v>
      </c>
      <c r="G3" s="40" t="s">
        <v>149</v>
      </c>
      <c r="H3" s="40" t="s">
        <v>150</v>
      </c>
    </row>
    <row r="4" spans="1:8">
      <c r="B4" s="83">
        <v>0.16666666666666666</v>
      </c>
      <c r="C4" s="39">
        <v>40</v>
      </c>
      <c r="D4" s="39">
        <f>ROUNDUP(60/C4,0)</f>
        <v>2</v>
      </c>
      <c r="F4" s="83">
        <v>0.16666666666666666</v>
      </c>
      <c r="G4" s="39">
        <v>40</v>
      </c>
      <c r="H4" s="39">
        <f>ROUNDUP(60/G4,0)</f>
        <v>2</v>
      </c>
    </row>
    <row r="5" spans="1:8">
      <c r="B5" s="83">
        <v>0.20833333333333334</v>
      </c>
      <c r="C5" s="39">
        <v>40</v>
      </c>
      <c r="D5" s="39">
        <f t="shared" ref="D5:D25" si="0">ROUNDUP(60/C5,0)</f>
        <v>2</v>
      </c>
      <c r="F5" s="83">
        <v>0.20833333333333334</v>
      </c>
      <c r="G5" s="39">
        <v>40</v>
      </c>
      <c r="H5" s="39">
        <f t="shared" ref="H5:H25" si="1">ROUNDUP(60/G5,0)</f>
        <v>2</v>
      </c>
    </row>
    <row r="6" spans="1:8">
      <c r="B6" s="83">
        <v>0.25</v>
      </c>
      <c r="C6" s="39">
        <v>20</v>
      </c>
      <c r="D6" s="39">
        <f t="shared" si="0"/>
        <v>3</v>
      </c>
      <c r="F6" s="83">
        <v>0.25</v>
      </c>
      <c r="G6" s="39">
        <v>20</v>
      </c>
      <c r="H6" s="39">
        <f t="shared" si="1"/>
        <v>3</v>
      </c>
    </row>
    <row r="7" spans="1:8">
      <c r="B7" s="83">
        <v>0.29166666666666702</v>
      </c>
      <c r="C7" s="39">
        <v>10</v>
      </c>
      <c r="D7" s="39">
        <f t="shared" si="0"/>
        <v>6</v>
      </c>
      <c r="F7" s="83">
        <v>0.29166666666666702</v>
      </c>
      <c r="G7" s="39">
        <v>12</v>
      </c>
      <c r="H7" s="39">
        <f t="shared" si="1"/>
        <v>5</v>
      </c>
    </row>
    <row r="8" spans="1:8">
      <c r="B8" s="83">
        <v>0.33333333333333398</v>
      </c>
      <c r="C8" s="39">
        <v>10</v>
      </c>
      <c r="D8" s="39">
        <f t="shared" si="0"/>
        <v>6</v>
      </c>
      <c r="F8" s="83">
        <v>0.33333333333333398</v>
      </c>
      <c r="G8" s="39">
        <v>12</v>
      </c>
      <c r="H8" s="39">
        <f t="shared" si="1"/>
        <v>5</v>
      </c>
    </row>
    <row r="9" spans="1:8">
      <c r="B9" s="83">
        <v>0.375</v>
      </c>
      <c r="C9" s="39">
        <v>10</v>
      </c>
      <c r="D9" s="39">
        <f t="shared" si="0"/>
        <v>6</v>
      </c>
      <c r="F9" s="83">
        <v>0.375</v>
      </c>
      <c r="G9" s="39">
        <v>12</v>
      </c>
      <c r="H9" s="39">
        <f t="shared" si="1"/>
        <v>5</v>
      </c>
    </row>
    <row r="10" spans="1:8">
      <c r="B10" s="83">
        <v>0.41666666666666702</v>
      </c>
      <c r="C10" s="39">
        <v>10</v>
      </c>
      <c r="D10" s="39">
        <f t="shared" si="0"/>
        <v>6</v>
      </c>
      <c r="F10" s="83">
        <v>0.41666666666666702</v>
      </c>
      <c r="G10" s="39">
        <v>12</v>
      </c>
      <c r="H10" s="39">
        <f t="shared" si="1"/>
        <v>5</v>
      </c>
    </row>
    <row r="11" spans="1:8">
      <c r="B11" s="83">
        <v>0.45833333333333398</v>
      </c>
      <c r="C11" s="39">
        <v>10</v>
      </c>
      <c r="D11" s="39">
        <f t="shared" si="0"/>
        <v>6</v>
      </c>
      <c r="F11" s="83">
        <v>0.45833333333333398</v>
      </c>
      <c r="G11" s="39">
        <v>12</v>
      </c>
      <c r="H11" s="39">
        <f t="shared" si="1"/>
        <v>5</v>
      </c>
    </row>
    <row r="12" spans="1:8">
      <c r="B12" s="83">
        <v>0.5</v>
      </c>
      <c r="C12" s="39">
        <v>10</v>
      </c>
      <c r="D12" s="39">
        <f t="shared" si="0"/>
        <v>6</v>
      </c>
      <c r="F12" s="83">
        <v>0.5</v>
      </c>
      <c r="G12" s="39">
        <v>12</v>
      </c>
      <c r="H12" s="39">
        <f t="shared" si="1"/>
        <v>5</v>
      </c>
    </row>
    <row r="13" spans="1:8">
      <c r="B13" s="83">
        <v>0.54166666666666696</v>
      </c>
      <c r="C13" s="39">
        <v>10</v>
      </c>
      <c r="D13" s="39">
        <f t="shared" si="0"/>
        <v>6</v>
      </c>
      <c r="F13" s="83">
        <v>0.54166666666666696</v>
      </c>
      <c r="G13" s="39">
        <v>12</v>
      </c>
      <c r="H13" s="39">
        <f t="shared" si="1"/>
        <v>5</v>
      </c>
    </row>
    <row r="14" spans="1:8">
      <c r="B14" s="83">
        <v>0.58333333333333404</v>
      </c>
      <c r="C14" s="39">
        <v>10</v>
      </c>
      <c r="D14" s="39">
        <f t="shared" si="0"/>
        <v>6</v>
      </c>
      <c r="F14" s="83">
        <v>0.58333333333333404</v>
      </c>
      <c r="G14" s="39">
        <v>12</v>
      </c>
      <c r="H14" s="39">
        <f t="shared" si="1"/>
        <v>5</v>
      </c>
    </row>
    <row r="15" spans="1:8">
      <c r="B15" s="83">
        <v>0.625000000000001</v>
      </c>
      <c r="C15" s="39">
        <v>10</v>
      </c>
      <c r="D15" s="39">
        <f t="shared" si="0"/>
        <v>6</v>
      </c>
      <c r="F15" s="83">
        <v>0.625000000000001</v>
      </c>
      <c r="G15" s="39">
        <v>12</v>
      </c>
      <c r="H15" s="39">
        <f t="shared" si="1"/>
        <v>5</v>
      </c>
    </row>
    <row r="16" spans="1:8">
      <c r="B16" s="83">
        <v>0.66666666666666696</v>
      </c>
      <c r="C16" s="39">
        <v>10</v>
      </c>
      <c r="D16" s="39">
        <f t="shared" si="0"/>
        <v>6</v>
      </c>
      <c r="F16" s="83">
        <v>0.66666666666666696</v>
      </c>
      <c r="G16" s="39">
        <v>12</v>
      </c>
      <c r="H16" s="39">
        <f t="shared" si="1"/>
        <v>5</v>
      </c>
    </row>
    <row r="17" spans="2:8">
      <c r="B17" s="83">
        <v>0.70833333333333404</v>
      </c>
      <c r="C17" s="39">
        <v>10</v>
      </c>
      <c r="D17" s="39">
        <f t="shared" si="0"/>
        <v>6</v>
      </c>
      <c r="F17" s="83">
        <v>0.70833333333333404</v>
      </c>
      <c r="G17" s="39">
        <v>12</v>
      </c>
      <c r="H17" s="39">
        <f t="shared" si="1"/>
        <v>5</v>
      </c>
    </row>
    <row r="18" spans="2:8">
      <c r="B18" s="83">
        <v>0.750000000000001</v>
      </c>
      <c r="C18" s="39">
        <v>10</v>
      </c>
      <c r="D18" s="39">
        <f t="shared" si="0"/>
        <v>6</v>
      </c>
      <c r="F18" s="83">
        <v>0.750000000000001</v>
      </c>
      <c r="G18" s="39">
        <v>12</v>
      </c>
      <c r="H18" s="39">
        <f t="shared" si="1"/>
        <v>5</v>
      </c>
    </row>
    <row r="19" spans="2:8">
      <c r="B19" s="83">
        <v>0.79166666666666696</v>
      </c>
      <c r="C19" s="39">
        <v>10</v>
      </c>
      <c r="D19" s="39">
        <f t="shared" si="0"/>
        <v>6</v>
      </c>
      <c r="F19" s="83">
        <v>0.79166666666666696</v>
      </c>
      <c r="G19" s="39">
        <v>12</v>
      </c>
      <c r="H19" s="39">
        <f t="shared" si="1"/>
        <v>5</v>
      </c>
    </row>
    <row r="20" spans="2:8">
      <c r="B20" s="83">
        <v>0.83333333333333404</v>
      </c>
      <c r="C20" s="39">
        <v>10</v>
      </c>
      <c r="D20" s="39">
        <f t="shared" si="0"/>
        <v>6</v>
      </c>
      <c r="F20" s="83">
        <v>0.83333333333333404</v>
      </c>
      <c r="G20" s="39">
        <v>12</v>
      </c>
      <c r="H20" s="39">
        <f t="shared" si="1"/>
        <v>5</v>
      </c>
    </row>
    <row r="21" spans="2:8">
      <c r="B21" s="83">
        <v>0.875000000000001</v>
      </c>
      <c r="C21" s="39">
        <v>20</v>
      </c>
      <c r="D21" s="39">
        <f t="shared" si="0"/>
        <v>3</v>
      </c>
      <c r="F21" s="83">
        <v>0.875000000000001</v>
      </c>
      <c r="G21" s="39">
        <v>20</v>
      </c>
      <c r="H21" s="39">
        <f t="shared" si="1"/>
        <v>3</v>
      </c>
    </row>
    <row r="22" spans="2:8">
      <c r="B22" s="83">
        <v>0.91666666666666696</v>
      </c>
      <c r="C22" s="39">
        <v>20</v>
      </c>
      <c r="D22" s="39">
        <f t="shared" si="0"/>
        <v>3</v>
      </c>
      <c r="F22" s="83">
        <v>0.91666666666666696</v>
      </c>
      <c r="G22" s="39">
        <v>20</v>
      </c>
      <c r="H22" s="39">
        <f t="shared" si="1"/>
        <v>3</v>
      </c>
    </row>
    <row r="23" spans="2:8">
      <c r="B23" s="83">
        <v>0.95833333333333404</v>
      </c>
      <c r="C23" s="39">
        <v>20</v>
      </c>
      <c r="D23" s="39">
        <f t="shared" si="0"/>
        <v>3</v>
      </c>
      <c r="F23" s="83">
        <v>0.95833333333333404</v>
      </c>
      <c r="G23" s="39">
        <v>20</v>
      </c>
      <c r="H23" s="39">
        <f t="shared" si="1"/>
        <v>3</v>
      </c>
    </row>
    <row r="24" spans="2:8">
      <c r="B24" s="83">
        <v>1</v>
      </c>
      <c r="C24" s="39">
        <v>40</v>
      </c>
      <c r="D24" s="39">
        <f t="shared" si="0"/>
        <v>2</v>
      </c>
      <c r="F24" s="83">
        <v>1</v>
      </c>
      <c r="G24" s="39">
        <v>40</v>
      </c>
      <c r="H24" s="39">
        <f t="shared" si="1"/>
        <v>2</v>
      </c>
    </row>
    <row r="25" spans="2:8">
      <c r="B25" s="83">
        <v>1.0416666666666701</v>
      </c>
      <c r="C25" s="39">
        <v>40</v>
      </c>
      <c r="D25" s="39">
        <f t="shared" si="0"/>
        <v>2</v>
      </c>
      <c r="F25" s="83">
        <v>1.0416666666666701</v>
      </c>
      <c r="G25" s="39">
        <v>40</v>
      </c>
      <c r="H25" s="39">
        <f t="shared" si="1"/>
        <v>2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4F-9A36-414F-B251-42929818C21C}">
  <dimension ref="A1:L19"/>
  <sheetViews>
    <sheetView workbookViewId="0">
      <selection activeCell="K10" sqref="K10"/>
    </sheetView>
  </sheetViews>
  <sheetFormatPr baseColWidth="10" defaultRowHeight="15"/>
  <cols>
    <col min="1" max="1" width="20.7109375" bestFit="1" customWidth="1"/>
    <col min="2" max="2" width="23.5703125" customWidth="1"/>
    <col min="4" max="4" width="13.5703125" bestFit="1" customWidth="1"/>
    <col min="5" max="5" width="11.7109375" bestFit="1" customWidth="1"/>
    <col min="7" max="7" width="24.140625" customWidth="1"/>
    <col min="9" max="9" width="14.7109375" bestFit="1" customWidth="1"/>
    <col min="10" max="10" width="15.140625" bestFit="1" customWidth="1"/>
    <col min="12" max="12" width="12.5703125" bestFit="1" customWidth="1"/>
  </cols>
  <sheetData>
    <row r="1" spans="1:12">
      <c r="A1" s="113" t="s">
        <v>156</v>
      </c>
      <c r="B1" s="113"/>
      <c r="C1" s="113"/>
      <c r="D1" s="113"/>
      <c r="E1" s="113"/>
      <c r="G1" s="113" t="s">
        <v>158</v>
      </c>
      <c r="H1" s="113"/>
      <c r="I1" s="113"/>
      <c r="J1" s="113"/>
      <c r="K1" s="113"/>
      <c r="L1" s="114"/>
    </row>
    <row r="2" spans="1:12">
      <c r="A2" s="40" t="s">
        <v>82</v>
      </c>
      <c r="B2" s="40" t="s">
        <v>74</v>
      </c>
      <c r="C2" s="40" t="s">
        <v>75</v>
      </c>
      <c r="D2" s="40" t="s">
        <v>76</v>
      </c>
      <c r="E2" s="40" t="s">
        <v>77</v>
      </c>
      <c r="G2" s="40" t="s">
        <v>153</v>
      </c>
      <c r="H2" s="40" t="s">
        <v>87</v>
      </c>
      <c r="I2" s="40" t="s">
        <v>88</v>
      </c>
      <c r="J2" s="40" t="s">
        <v>89</v>
      </c>
      <c r="K2" s="40" t="s">
        <v>90</v>
      </c>
      <c r="L2" s="40" t="s">
        <v>77</v>
      </c>
    </row>
    <row r="3" spans="1:12">
      <c r="A3" s="110" t="s">
        <v>83</v>
      </c>
      <c r="B3" s="29" t="s">
        <v>78</v>
      </c>
      <c r="C3" s="59">
        <f>SUM('Oferta servicio'!D4:D25)</f>
        <v>104</v>
      </c>
      <c r="D3" s="30">
        <f>'Número de tranvías'!B3/1000</f>
        <v>10.888780000000001</v>
      </c>
      <c r="E3" s="30">
        <f t="shared" ref="E3:E8" si="0">C3*D3</f>
        <v>1132.4331200000001</v>
      </c>
      <c r="G3" s="29" t="s">
        <v>154</v>
      </c>
      <c r="H3" s="39">
        <f>30+31+30+31+31+30+31</f>
        <v>214</v>
      </c>
      <c r="I3" s="30">
        <f>H3*(E3+E4)</f>
        <v>484343.75183999998</v>
      </c>
      <c r="J3" s="30">
        <f>H3*(E5+E6)</f>
        <v>4652.3599999999997</v>
      </c>
      <c r="K3" s="30">
        <f>H3*(E17+E18)</f>
        <v>4652.3599999999997</v>
      </c>
      <c r="L3" s="30">
        <f>SUM(I3:K3)</f>
        <v>493648.47183999995</v>
      </c>
    </row>
    <row r="4" spans="1:12">
      <c r="A4" s="110"/>
      <c r="B4" s="29" t="s">
        <v>79</v>
      </c>
      <c r="C4" s="59">
        <f>C3</f>
        <v>104</v>
      </c>
      <c r="D4" s="30">
        <f>'Número de tranvías'!C3/1000</f>
        <v>10.873610000000001</v>
      </c>
      <c r="E4" s="30">
        <f t="shared" si="0"/>
        <v>1130.85544</v>
      </c>
      <c r="G4" s="29" t="s">
        <v>155</v>
      </c>
      <c r="H4" s="39">
        <f>30+31+31+28+31</f>
        <v>151</v>
      </c>
      <c r="I4" s="30">
        <f>H4*(E3+E4)</f>
        <v>341756.57256</v>
      </c>
      <c r="J4" s="30">
        <f>H4*(E5+E6)</f>
        <v>3282.74</v>
      </c>
      <c r="K4" s="30">
        <f>H4*(E7+E8)</f>
        <v>3282.74</v>
      </c>
      <c r="L4" s="30">
        <f>SUM(I4:K4)</f>
        <v>348322.05255999998</v>
      </c>
    </row>
    <row r="5" spans="1:12">
      <c r="A5" s="110" t="s">
        <v>84</v>
      </c>
      <c r="B5" s="29" t="s">
        <v>80</v>
      </c>
      <c r="C5" s="39">
        <v>2</v>
      </c>
      <c r="D5" s="30">
        <v>7.7</v>
      </c>
      <c r="E5" s="30">
        <f t="shared" si="0"/>
        <v>15.4</v>
      </c>
      <c r="G5" s="112" t="s">
        <v>91</v>
      </c>
      <c r="H5" s="112"/>
      <c r="I5" s="112"/>
      <c r="J5" s="112"/>
      <c r="K5" s="112"/>
      <c r="L5" s="60">
        <f>L3+L4</f>
        <v>841970.52439999999</v>
      </c>
    </row>
    <row r="6" spans="1:12">
      <c r="A6" s="111"/>
      <c r="B6" s="29" t="s">
        <v>81</v>
      </c>
      <c r="C6" s="39">
        <v>2</v>
      </c>
      <c r="D6" s="39">
        <f>10.87-7.7</f>
        <v>3.169999999999999</v>
      </c>
      <c r="E6" s="30">
        <f t="shared" si="0"/>
        <v>6.3399999999999981</v>
      </c>
      <c r="H6" s="50"/>
    </row>
    <row r="7" spans="1:12" ht="15.75" thickBot="1">
      <c r="A7" s="110" t="s">
        <v>85</v>
      </c>
      <c r="B7" s="29" t="s">
        <v>80</v>
      </c>
      <c r="C7" s="39">
        <v>2</v>
      </c>
      <c r="D7" s="30">
        <v>7.7</v>
      </c>
      <c r="E7" s="30">
        <f t="shared" si="0"/>
        <v>15.4</v>
      </c>
    </row>
    <row r="8" spans="1:12" ht="15.75" thickBot="1">
      <c r="A8" s="111"/>
      <c r="B8" s="29" t="s">
        <v>81</v>
      </c>
      <c r="C8" s="39">
        <v>2</v>
      </c>
      <c r="D8" s="39">
        <f>10.87-7.7</f>
        <v>3.169999999999999</v>
      </c>
      <c r="E8" s="30">
        <f t="shared" si="0"/>
        <v>6.3399999999999981</v>
      </c>
      <c r="K8" s="24" t="s">
        <v>175</v>
      </c>
      <c r="L8" s="84">
        <f>L5/K9</f>
        <v>84197.052439999999</v>
      </c>
    </row>
    <row r="9" spans="1:12">
      <c r="A9" s="112" t="s">
        <v>86</v>
      </c>
      <c r="B9" s="112"/>
      <c r="C9" s="112"/>
      <c r="D9" s="112"/>
      <c r="E9" s="60">
        <f>SUM(E3:E8)</f>
        <v>2306.7685600000004</v>
      </c>
      <c r="J9" t="s">
        <v>176</v>
      </c>
      <c r="K9">
        <f>'Número de tranvías'!B12+1+1</f>
        <v>10</v>
      </c>
      <c r="L9" t="s">
        <v>177</v>
      </c>
    </row>
    <row r="10" spans="1:12">
      <c r="A10" s="115"/>
      <c r="B10" s="115"/>
      <c r="C10" s="115"/>
      <c r="D10" s="115"/>
    </row>
    <row r="11" spans="1:12">
      <c r="A11" s="113" t="s">
        <v>157</v>
      </c>
      <c r="B11" s="113"/>
      <c r="C11" s="113"/>
      <c r="D11" s="113"/>
      <c r="E11" s="113"/>
    </row>
    <row r="12" spans="1:12">
      <c r="A12" s="40" t="s">
        <v>82</v>
      </c>
      <c r="B12" s="40" t="s">
        <v>74</v>
      </c>
      <c r="C12" s="40" t="s">
        <v>75</v>
      </c>
      <c r="D12" s="40" t="s">
        <v>76</v>
      </c>
      <c r="E12" s="40" t="s">
        <v>77</v>
      </c>
    </row>
    <row r="13" spans="1:12">
      <c r="A13" s="110" t="s">
        <v>83</v>
      </c>
      <c r="B13" s="29" t="s">
        <v>78</v>
      </c>
      <c r="C13" s="59">
        <f>SUM('Oferta servicio'!H4:H25)</f>
        <v>90</v>
      </c>
      <c r="D13" s="30">
        <f>D3</f>
        <v>10.888780000000001</v>
      </c>
      <c r="E13" s="30">
        <f t="shared" ref="E13:E18" si="1">C13*D13</f>
        <v>979.99020000000007</v>
      </c>
    </row>
    <row r="14" spans="1:12">
      <c r="A14" s="110"/>
      <c r="B14" s="29" t="s">
        <v>79</v>
      </c>
      <c r="C14" s="59">
        <f>C13</f>
        <v>90</v>
      </c>
      <c r="D14" s="30">
        <f>D4</f>
        <v>10.873610000000001</v>
      </c>
      <c r="E14" s="30">
        <f t="shared" si="1"/>
        <v>978.62490000000014</v>
      </c>
    </row>
    <row r="15" spans="1:12">
      <c r="A15" s="110" t="s">
        <v>84</v>
      </c>
      <c r="B15" s="29" t="s">
        <v>80</v>
      </c>
      <c r="C15" s="39">
        <v>2</v>
      </c>
      <c r="D15" s="30">
        <v>7.7</v>
      </c>
      <c r="E15" s="30">
        <f t="shared" si="1"/>
        <v>15.4</v>
      </c>
    </row>
    <row r="16" spans="1:12">
      <c r="A16" s="111"/>
      <c r="B16" s="29" t="s">
        <v>81</v>
      </c>
      <c r="C16" s="39">
        <v>2</v>
      </c>
      <c r="D16" s="39">
        <f>10.87-7.7</f>
        <v>3.169999999999999</v>
      </c>
      <c r="E16" s="30">
        <f t="shared" si="1"/>
        <v>6.3399999999999981</v>
      </c>
    </row>
    <row r="17" spans="1:5">
      <c r="A17" s="110" t="s">
        <v>85</v>
      </c>
      <c r="B17" s="29" t="s">
        <v>80</v>
      </c>
      <c r="C17" s="39">
        <v>2</v>
      </c>
      <c r="D17" s="30">
        <v>7.7</v>
      </c>
      <c r="E17" s="30">
        <f t="shared" si="1"/>
        <v>15.4</v>
      </c>
    </row>
    <row r="18" spans="1:5">
      <c r="A18" s="111"/>
      <c r="B18" s="29" t="s">
        <v>81</v>
      </c>
      <c r="C18" s="39">
        <v>2</v>
      </c>
      <c r="D18" s="39">
        <f>10.87-7.7</f>
        <v>3.169999999999999</v>
      </c>
      <c r="E18" s="30">
        <f t="shared" si="1"/>
        <v>6.3399999999999981</v>
      </c>
    </row>
    <row r="19" spans="1:5">
      <c r="A19" s="112" t="s">
        <v>86</v>
      </c>
      <c r="B19" s="112"/>
      <c r="C19" s="112"/>
      <c r="D19" s="112"/>
      <c r="E19" s="60">
        <f>SUM(E13:E18)</f>
        <v>2002.0951000000002</v>
      </c>
    </row>
  </sheetData>
  <mergeCells count="13">
    <mergeCell ref="G1:L1"/>
    <mergeCell ref="G5:K5"/>
    <mergeCell ref="A10:D10"/>
    <mergeCell ref="A11:E11"/>
    <mergeCell ref="A13:A14"/>
    <mergeCell ref="A15:A16"/>
    <mergeCell ref="A17:A18"/>
    <mergeCell ref="A19:D19"/>
    <mergeCell ref="A1:E1"/>
    <mergeCell ref="A3:A4"/>
    <mergeCell ref="A5:A6"/>
    <mergeCell ref="A7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Demanda ENERO</vt:lpstr>
      <vt:lpstr>Demanda MAYO</vt:lpstr>
      <vt:lpstr>Demanda AGOSTO</vt:lpstr>
      <vt:lpstr>Capacidad sistema HP ENERO</vt:lpstr>
      <vt:lpstr>Capacidad sistema HP MAYO</vt:lpstr>
      <vt:lpstr>Capacidad sistema HP AGOSTO</vt:lpstr>
      <vt:lpstr>Número de tranvías</vt:lpstr>
      <vt:lpstr>Oferta servicio</vt:lpstr>
      <vt:lpstr>Producción kilométrica</vt:lpstr>
      <vt:lpstr>Nº de conductores</vt:lpstr>
      <vt:lpstr>Nº técnicos mantenimiento mr</vt:lpstr>
      <vt:lpstr>Nº controladores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Parra Hermida</dc:creator>
  <cp:lastModifiedBy>Raúl Parra Hermida</cp:lastModifiedBy>
  <cp:lastPrinted>2022-08-08T10:58:41Z</cp:lastPrinted>
  <dcterms:created xsi:type="dcterms:W3CDTF">2022-06-02T09:54:51Z</dcterms:created>
  <dcterms:modified xsi:type="dcterms:W3CDTF">2023-11-17T11:46:20Z</dcterms:modified>
</cp:coreProperties>
</file>