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0" windowWidth="12000" windowHeight="6192" activeTab="1"/>
  </bookViews>
  <sheets>
    <sheet name="NOTA" sheetId="1" r:id="rId1"/>
    <sheet name="OCW-SISTEMA REFERENCIA" sheetId="2" r:id="rId2"/>
    <sheet name="OCW-CHORRO-ALCANCE-MÁX" sheetId="3" r:id="rId3"/>
    <sheet name="OCW-CHORRO-ALT.MÁX" sheetId="4" r:id="rId4"/>
    <sheet name="OCW-VERTEDORES" sheetId="5" r:id="rId5"/>
  </sheets>
  <externalReferences>
    <externalReference r:id="rId8"/>
    <externalReference r:id="rId9"/>
  </externalReferences>
  <definedNames>
    <definedName name="Caudal_de_la_punta">'[1]Triangular'!$E$9</definedName>
    <definedName name="Cotamax">'[1]Triangular'!$B$5</definedName>
    <definedName name="Cotamin">'[1]Triangular'!$B$6</definedName>
    <definedName name="D">'[1]Triangular'!$B$9</definedName>
    <definedName name="dk">'[2]Volumetric Flow Measurement'!#REF!</definedName>
    <definedName name="Indi1">'[2]Fluid Friction'!$C$36:$K$57</definedName>
    <definedName name="L">'[1]Triangular'!$B$4</definedName>
    <definedName name="Lambda">'[2]Volumetric Flow Measurement'!$D$7</definedName>
    <definedName name="P">'[1]Triangular'!$B$8</definedName>
    <definedName name="Pend">'[1]Triangular'!$E$4</definedName>
    <definedName name="Re">'[2]Volumetric Flow Measurement'!$D$8</definedName>
    <definedName name="Superf">'[1]Triangular'!$B$7</definedName>
    <definedName name="t_conc_horas">'[1]Triangular'!$E$6</definedName>
    <definedName name="t_conc_min">'[1]Triangular'!$E$5</definedName>
    <definedName name="tiempo_base">'[1]Triangular'!$E$8</definedName>
    <definedName name="tiempo_punta">'[1]Triangular'!$E$7</definedName>
  </definedNames>
  <calcPr fullCalcOnLoad="1"/>
</workbook>
</file>

<file path=xl/comments3.xml><?xml version="1.0" encoding="utf-8"?>
<comments xmlns="http://schemas.openxmlformats.org/spreadsheetml/2006/main">
  <authors>
    <author>Juan Eusebio</author>
    <author>Juan</author>
  </authors>
  <commentList>
    <comment ref="H12" authorId="0">
      <text>
        <r>
          <rPr>
            <b/>
            <sz val="8"/>
            <rFont val="Tahoma"/>
            <family val="0"/>
          </rPr>
          <t>CAUDAL DEL CONJUNTO DE BOQUILLAS</t>
        </r>
        <r>
          <rPr>
            <sz val="8"/>
            <rFont val="Tahoma"/>
            <family val="0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0"/>
          </rPr>
          <t>CAUDAL DE UNA BOQUILLA.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Variable de entrada. 
 (d): Diámetro interior de salida de la boquilla o surtidor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0"/>
          </rPr>
          <t>VARIABLE DE ENTRADA.</t>
        </r>
        <r>
          <rPr>
            <sz val="8"/>
            <rFont val="Tahoma"/>
            <family val="0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0"/>
          </rPr>
          <t>ÁNGULO DE ENTRADA EN EL NIVEL DEL AGUA, AGUAS ABAJO.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VELOCIDAD EN LA ENTRADA EN LA SUPERFICIE DEL AGUA, AGUAS ABAJO.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0"/>
          </rPr>
          <t>VELOCIDAD MÍNIMA
RECOMENDADA:
2 m/ s</t>
        </r>
        <r>
          <rPr>
            <sz val="8"/>
            <rFont val="Tahoma"/>
            <family val="0"/>
          </rPr>
          <t xml:space="preserve">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VARIABLE DE ENTRADA.
</t>
        </r>
        <r>
          <rPr>
            <b/>
            <sz val="8"/>
            <rFont val="Symbol"/>
            <family val="1"/>
          </rPr>
          <t>a</t>
        </r>
        <r>
          <rPr>
            <b/>
            <sz val="8"/>
            <rFont val="Tahoma"/>
            <family val="0"/>
          </rPr>
          <t xml:space="preserve"> : puede ser +, 0, -</t>
        </r>
        <r>
          <rPr>
            <sz val="8"/>
            <rFont val="Tahoma"/>
            <family val="0"/>
          </rPr>
          <t xml:space="preserve">
</t>
        </r>
      </text>
    </comment>
    <comment ref="E6" authorId="1">
      <text>
        <r>
          <rPr>
            <b/>
            <sz val="8"/>
            <rFont val="Tahoma"/>
            <family val="0"/>
          </rPr>
          <t>VARIABLE DE ENTRADA.
P: ALTURA DE CAÍDA DEL CHORRO</t>
        </r>
        <r>
          <rPr>
            <sz val="8"/>
            <rFont val="Tahoma"/>
            <family val="0"/>
          </rPr>
          <t xml:space="preserve">
</t>
        </r>
      </text>
    </comment>
    <comment ref="B6" authorId="1">
      <text>
        <r>
          <rPr>
            <b/>
            <sz val="8"/>
            <rFont val="Tahoma"/>
            <family val="0"/>
          </rPr>
          <t>VARIABLE DE ENTRADA.
X</t>
        </r>
        <r>
          <rPr>
            <b/>
            <vertAlign val="subscript"/>
            <sz val="8"/>
            <rFont val="Tahoma"/>
            <family val="2"/>
          </rPr>
          <t>máx</t>
        </r>
        <r>
          <rPr>
            <b/>
            <sz val="8"/>
            <rFont val="Tahoma"/>
            <family val="0"/>
          </rPr>
          <t xml:space="preserve"> : ALCANCE MÁXIMO DEL CHORRO.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Juan</author>
    <author>LusaSoft</author>
  </authors>
  <commentList>
    <comment ref="B11" authorId="0">
      <text>
        <r>
          <rPr>
            <b/>
            <sz val="8"/>
            <rFont val="Tahoma"/>
            <family val="0"/>
          </rPr>
          <t>VELOCIDAD MÁXIMA:</t>
        </r>
        <r>
          <rPr>
            <sz val="8"/>
            <rFont val="Tahoma"/>
            <family val="0"/>
          </rPr>
          <t xml:space="preserve">
d= 3 mm; V = 6.67 m/s
d= 6 mm; V = 9.76 m/s
d= 14 mm; V = 16.82 m/s
d= 3 mm; V = 21.92 m/s</t>
        </r>
      </text>
    </comment>
    <comment ref="B9" authorId="0">
      <text>
        <r>
          <rPr>
            <b/>
            <sz val="8"/>
            <rFont val="Tahoma"/>
            <family val="0"/>
          </rPr>
          <t>CÁLCULO OK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VARIABLE DE ENTRADA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VARIABLE DE ENTRADA &gt; 0.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VARIABLE DE ENTRADA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0"/>
          </rPr>
          <t xml:space="preserve">Es la x del punto más alto de la parábola.
18-06-08.
</t>
        </r>
      </text>
    </comment>
  </commentList>
</comments>
</file>

<file path=xl/sharedStrings.xml><?xml version="1.0" encoding="utf-8"?>
<sst xmlns="http://schemas.openxmlformats.org/spreadsheetml/2006/main" count="83" uniqueCount="61">
  <si>
    <t>INPUT DATA CELL</t>
  </si>
  <si>
    <t>OUTPUT DATA CELL</t>
  </si>
  <si>
    <t xml:space="preserve">                                  ENTRADA DE DATOS:  </t>
  </si>
  <si>
    <t>m</t>
  </si>
  <si>
    <t xml:space="preserve">                                    </t>
  </si>
  <si>
    <t xml:space="preserve">        VELOCIDAD DE SALIDA:</t>
  </si>
  <si>
    <t xml:space="preserve">        VELOCIDAD FINAL:</t>
  </si>
  <si>
    <t>V =</t>
  </si>
  <si>
    <t>m/ s</t>
  </si>
  <si>
    <t>º</t>
  </si>
  <si>
    <t xml:space="preserve">    CÁLCULOS DEL CAUDAL PARA UNA BOQUILLA DE DIÁMETRO "d":</t>
  </si>
  <si>
    <t xml:space="preserve">     NÚMERO BOQUILLAS:</t>
  </si>
  <si>
    <t xml:space="preserve">       d  =</t>
  </si>
  <si>
    <t>mm</t>
  </si>
  <si>
    <t xml:space="preserve">       Q  =</t>
  </si>
  <si>
    <t>lpm</t>
  </si>
  <si>
    <t>COORDENADAS DEL CHORRO</t>
  </si>
  <si>
    <t>x (m)</t>
  </si>
  <si>
    <t>y (m)</t>
  </si>
  <si>
    <r>
      <t>x</t>
    </r>
    <r>
      <rPr>
        <b/>
        <vertAlign val="subscript"/>
        <sz val="12"/>
        <rFont val="Arial"/>
        <family val="2"/>
      </rPr>
      <t xml:space="preserve">máx </t>
    </r>
    <r>
      <rPr>
        <b/>
        <sz val="10"/>
        <rFont val="Arial"/>
        <family val="2"/>
      </rPr>
      <t>=</t>
    </r>
  </si>
  <si>
    <r>
      <t xml:space="preserve">Y </t>
    </r>
    <r>
      <rPr>
        <b/>
        <vertAlign val="subscript"/>
        <sz val="12"/>
        <rFont val="Arial"/>
        <family val="2"/>
      </rPr>
      <t xml:space="preserve"> </t>
    </r>
    <r>
      <rPr>
        <b/>
        <sz val="10"/>
        <rFont val="Arial"/>
        <family val="2"/>
      </rPr>
      <t>=</t>
    </r>
  </si>
  <si>
    <r>
      <t xml:space="preserve"> Ángulo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 xml:space="preserve"> =</t>
    </r>
  </si>
  <si>
    <r>
      <t xml:space="preserve">        ÁNGULO FINAL (</t>
    </r>
    <r>
      <rPr>
        <b/>
        <sz val="10"/>
        <rFont val="Symbol"/>
        <family val="1"/>
      </rPr>
      <t>b</t>
    </r>
    <r>
      <rPr>
        <b/>
        <sz val="10"/>
        <rFont val="Arial"/>
        <family val="2"/>
      </rPr>
      <t>):</t>
    </r>
  </si>
  <si>
    <r>
      <t>V</t>
    </r>
    <r>
      <rPr>
        <b/>
        <vertAlign val="subscript"/>
        <sz val="10"/>
        <rFont val="Arial"/>
        <family val="2"/>
      </rPr>
      <t>final</t>
    </r>
    <r>
      <rPr>
        <b/>
        <sz val="10"/>
        <rFont val="Arial"/>
        <family val="2"/>
      </rPr>
      <t xml:space="preserve"> =</t>
    </r>
  </si>
  <si>
    <r>
      <t>b</t>
    </r>
    <r>
      <rPr>
        <b/>
        <sz val="10"/>
        <rFont val="Arial"/>
        <family val="2"/>
      </rPr>
      <t xml:space="preserve"> =</t>
    </r>
  </si>
  <si>
    <r>
      <t xml:space="preserve">     Q</t>
    </r>
    <r>
      <rPr>
        <b/>
        <vertAlign val="subscript"/>
        <sz val="10"/>
        <rFont val="Arial"/>
        <family val="2"/>
      </rPr>
      <t>total</t>
    </r>
    <r>
      <rPr>
        <b/>
        <sz val="10"/>
        <rFont val="Arial"/>
        <family val="2"/>
      </rPr>
      <t xml:space="preserve"> =</t>
    </r>
  </si>
  <si>
    <t xml:space="preserve">                                    VARIABLES DE SALIDA :</t>
  </si>
  <si>
    <t xml:space="preserve">         HIDRÁULICA DE FUENTES ORNAMENTALES</t>
  </si>
  <si>
    <t xml:space="preserve">       q  =</t>
  </si>
  <si>
    <t xml:space="preserve">    CÁLCULOS DEL CAUDAL PARA TODAS LAS BOQUILLAS:</t>
  </si>
  <si>
    <t>Número de boquillas =</t>
  </si>
  <si>
    <t>Q total =</t>
  </si>
  <si>
    <t>x máx =</t>
  </si>
  <si>
    <t>radianes</t>
  </si>
  <si>
    <t xml:space="preserve">      Q = m* (2g)^0,5 * L* H^1,5</t>
  </si>
  <si>
    <t>Carga H (m) =</t>
  </si>
  <si>
    <t>Long. Vertedor L (m) =</t>
  </si>
  <si>
    <t>Coeficiente m (adim.) =</t>
  </si>
  <si>
    <t>Caudal Q (m3/ s) =</t>
  </si>
  <si>
    <t>Caudal Q (l/ s) =</t>
  </si>
  <si>
    <t>Caudal Q (lpm) =</t>
  </si>
  <si>
    <t xml:space="preserve"> Input data cell                           </t>
  </si>
  <si>
    <t>Output data cell</t>
  </si>
  <si>
    <r>
      <t xml:space="preserve">    PROGRAMA DE CÁLCULOS TEÓRICOS DE UN CHORRO "SÓLIDO " CON ÁNGULO </t>
    </r>
    <r>
      <rPr>
        <b/>
        <sz val="12"/>
        <rFont val="Symbol"/>
        <family val="1"/>
      </rPr>
      <t>a</t>
    </r>
    <r>
      <rPr>
        <b/>
        <sz val="12"/>
        <rFont val="Arial"/>
        <family val="2"/>
      </rPr>
      <t xml:space="preserve"> &gt; 0 ®</t>
    </r>
  </si>
  <si>
    <r>
      <t>y</t>
    </r>
    <r>
      <rPr>
        <b/>
        <vertAlign val="subscript"/>
        <sz val="12"/>
        <rFont val="Arial"/>
        <family val="2"/>
      </rPr>
      <t xml:space="preserve">máx </t>
    </r>
    <r>
      <rPr>
        <b/>
        <sz val="10"/>
        <rFont val="Arial"/>
        <family val="2"/>
      </rPr>
      <t>=</t>
    </r>
  </si>
  <si>
    <r>
      <t xml:space="preserve">x </t>
    </r>
    <r>
      <rPr>
        <b/>
        <vertAlign val="subscript"/>
        <sz val="10"/>
        <rFont val="Arial"/>
        <family val="2"/>
      </rPr>
      <t>(</t>
    </r>
    <r>
      <rPr>
        <b/>
        <vertAlign val="subscript"/>
        <sz val="12"/>
        <rFont val="Arial"/>
        <family val="2"/>
      </rPr>
      <t xml:space="preserve">y máx) </t>
    </r>
    <r>
      <rPr>
        <b/>
        <sz val="10"/>
        <rFont val="Arial"/>
        <family val="2"/>
      </rPr>
      <t>=</t>
    </r>
  </si>
  <si>
    <t>CÁLCULO DE VERTEDORES LIBRES</t>
  </si>
  <si>
    <t>Input data cell</t>
  </si>
  <si>
    <t>VERSIÓN CURSOS 2007- 11</t>
  </si>
  <si>
    <t>AUTOR: Juan E. González Fariñas (jgfarina@ull.es)</t>
  </si>
  <si>
    <t xml:space="preserve">    LIBRO DE CHORROS</t>
  </si>
  <si>
    <t>El Autor no se responsabiliza con los resultados obtenidos por el uso indebido de este Libro de Cálculos</t>
  </si>
  <si>
    <t>elaborado para el desarrollo de la docencia universitaria.</t>
  </si>
  <si>
    <t>INPUT  DATA CELL</t>
  </si>
  <si>
    <t>OUTPUT  CELL</t>
  </si>
  <si>
    <t>OBJETIVE FUNCTION</t>
  </si>
  <si>
    <t>Importante: Hágase una copia de seguridad</t>
  </si>
  <si>
    <t>las celdas no están protegidas y si introduce datos</t>
  </si>
  <si>
    <t>en celdas que no sean "grises" borrará lo programado</t>
  </si>
  <si>
    <t xml:space="preserve">    AUTOR: Juan E. González Fariñas (jgfarina@ull.edu.es)</t>
  </si>
  <si>
    <t xml:space="preserve">                                          AUTOR: Juan E. González Fariñas (jgfarina@ull.edu.es)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</si>
</sst>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0"/>
    <numFmt numFmtId="169" formatCode="\$#,##0\ ;\(\$#,##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  <font>
      <sz val="8"/>
      <name val="Tahoma"/>
      <family val="0"/>
    </font>
    <font>
      <b/>
      <sz val="8"/>
      <name val="Symbol"/>
      <family val="1"/>
    </font>
    <font>
      <sz val="8"/>
      <name val="Arial"/>
      <family val="0"/>
    </font>
    <font>
      <sz val="12"/>
      <color indexed="8"/>
      <name val="Times New Roman"/>
      <family val="0"/>
    </font>
    <font>
      <sz val="12"/>
      <color indexed="9"/>
      <name val="Times New Roman"/>
      <family val="0"/>
    </font>
    <font>
      <sz val="10"/>
      <color indexed="9"/>
      <name val="Times New Roman"/>
      <family val="0"/>
    </font>
    <font>
      <b/>
      <sz val="20"/>
      <color indexed="12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b/>
      <sz val="12"/>
      <name val="Symbol"/>
      <family val="1"/>
    </font>
    <font>
      <sz val="12"/>
      <name val="Arial"/>
      <family val="2"/>
    </font>
    <font>
      <sz val="16.25"/>
      <name val="Arial"/>
      <family val="0"/>
    </font>
    <font>
      <sz val="9.5"/>
      <name val="Arial"/>
      <family val="2"/>
    </font>
    <font>
      <b/>
      <sz val="5.25"/>
      <name val="Arial"/>
      <family val="2"/>
    </font>
    <font>
      <b/>
      <i/>
      <sz val="10"/>
      <name val="Arial"/>
      <family val="2"/>
    </font>
    <font>
      <sz val="12"/>
      <color indexed="9"/>
      <name val="Symbol"/>
      <family val="0"/>
    </font>
    <font>
      <sz val="12"/>
      <color indexed="9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Symbol"/>
      <family val="1"/>
    </font>
    <font>
      <vertAlign val="subscript"/>
      <sz val="12"/>
      <color indexed="8"/>
      <name val="Times New Roman"/>
      <family val="1"/>
    </font>
    <font>
      <vertAlign val="subscript"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24"/>
      <name val="Arial"/>
      <family val="0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0" borderId="1" applyNumberFormat="0" applyFont="0" applyFill="0" applyAlignment="0" applyProtection="0"/>
  </cellStyleXfs>
  <cellXfs count="91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9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6" fillId="2" borderId="7" xfId="0" applyFont="1" applyFill="1" applyBorder="1" applyAlignment="1">
      <alignment horizontal="center"/>
    </xf>
    <xf numFmtId="2" fontId="6" fillId="4" borderId="7" xfId="0" applyNumberFormat="1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1" fontId="12" fillId="3" borderId="7" xfId="0" applyNumberFormat="1" applyFont="1" applyFill="1" applyBorder="1" applyAlignment="1" applyProtection="1">
      <alignment horizontal="center"/>
      <protection locked="0"/>
    </xf>
    <xf numFmtId="168" fontId="6" fillId="4" borderId="7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Alignment="1">
      <alignment horizontal="center"/>
    </xf>
    <xf numFmtId="168" fontId="12" fillId="4" borderId="7" xfId="0" applyNumberFormat="1" applyFont="1" applyFill="1" applyBorder="1" applyAlignment="1" applyProtection="1">
      <alignment horizontal="center"/>
      <protection/>
    </xf>
    <xf numFmtId="0" fontId="0" fillId="2" borderId="7" xfId="0" applyFill="1" applyBorder="1" applyAlignment="1">
      <alignment horizontal="center"/>
    </xf>
    <xf numFmtId="0" fontId="3" fillId="2" borderId="5" xfId="0" applyFont="1" applyFill="1" applyBorder="1" applyAlignment="1">
      <alignment/>
    </xf>
    <xf numFmtId="2" fontId="0" fillId="4" borderId="7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21" fillId="2" borderId="10" xfId="0" applyFont="1" applyFill="1" applyBorder="1" applyAlignment="1">
      <alignment/>
    </xf>
    <xf numFmtId="0" fontId="22" fillId="2" borderId="11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23" fillId="2" borderId="8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6" fillId="2" borderId="3" xfId="0" applyFont="1" applyFill="1" applyBorder="1" applyAlignment="1">
      <alignment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hidden="1"/>
    </xf>
    <xf numFmtId="0" fontId="6" fillId="5" borderId="7" xfId="0" applyFont="1" applyFill="1" applyBorder="1" applyAlignment="1">
      <alignment horizontal="center"/>
    </xf>
    <xf numFmtId="2" fontId="0" fillId="4" borderId="7" xfId="0" applyNumberFormat="1" applyFont="1" applyFill="1" applyBorder="1" applyAlignment="1" applyProtection="1">
      <alignment horizontal="center"/>
      <protection hidden="1"/>
    </xf>
    <xf numFmtId="0" fontId="17" fillId="3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168" fontId="0" fillId="3" borderId="7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6" fillId="3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4" borderId="0" xfId="0" applyFon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29" fillId="6" borderId="0" xfId="0" applyFont="1" applyFill="1" applyAlignment="1">
      <alignment/>
    </xf>
    <xf numFmtId="0" fontId="41" fillId="3" borderId="12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2" fontId="42" fillId="8" borderId="12" xfId="0" applyNumberFormat="1" applyFont="1" applyFill="1" applyBorder="1" applyAlignment="1" applyProtection="1">
      <alignment horizontal="center"/>
      <protection locked="0"/>
    </xf>
    <xf numFmtId="0" fontId="43" fillId="3" borderId="10" xfId="0" applyFont="1" applyFill="1" applyBorder="1" applyAlignment="1">
      <alignment horizontal="left"/>
    </xf>
    <xf numFmtId="0" fontId="43" fillId="3" borderId="11" xfId="0" applyFont="1" applyFill="1" applyBorder="1" applyAlignment="1">
      <alignment horizontal="left"/>
    </xf>
    <xf numFmtId="0" fontId="43" fillId="3" borderId="8" xfId="0" applyFont="1" applyFill="1" applyBorder="1" applyAlignment="1">
      <alignment horizontal="left"/>
    </xf>
    <xf numFmtId="0" fontId="43" fillId="3" borderId="5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left"/>
    </xf>
    <xf numFmtId="0" fontId="43" fillId="3" borderId="6" xfId="0" applyFont="1" applyFill="1" applyBorder="1" applyAlignment="1">
      <alignment horizontal="left"/>
    </xf>
    <xf numFmtId="0" fontId="43" fillId="3" borderId="13" xfId="0" applyFont="1" applyFill="1" applyBorder="1" applyAlignment="1">
      <alignment horizontal="left"/>
    </xf>
    <xf numFmtId="0" fontId="43" fillId="3" borderId="14" xfId="0" applyFont="1" applyFill="1" applyBorder="1" applyAlignment="1">
      <alignment horizontal="left"/>
    </xf>
    <xf numFmtId="0" fontId="43" fillId="3" borderId="15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5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0" xfId="25"/>
    <cellStyle name="Percent" xfId="26"/>
    <cellStyle name="Punto0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4"/>
          <c:w val="0.562"/>
          <c:h val="0.976"/>
        </c:manualLayout>
      </c:layout>
      <c:scatterChart>
        <c:scatterStyle val="lineMarker"/>
        <c:varyColors val="0"/>
        <c:ser>
          <c:idx val="0"/>
          <c:order val="0"/>
          <c:tx>
            <c:v>COORDENADAS DEL CHORRO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'OCW-CHORRO-ALCANCE-MÁX'!$A$15:$A$25</c:f>
              <c:numCache/>
            </c:numRef>
          </c:xVal>
          <c:yVal>
            <c:numRef>
              <c:f>'OCW-CHORRO-ALCANCE-MÁX'!$B$15:$B$25</c:f>
              <c:numCache/>
            </c:numRef>
          </c:yVal>
          <c:smooth val="0"/>
        </c:ser>
        <c:axId val="10530697"/>
        <c:axId val="27667410"/>
      </c:scatterChart>
      <c:valAx>
        <c:axId val="1053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crossBetween val="midCat"/>
        <c:dispUnits/>
      </c:valAx>
      <c:valAx>
        <c:axId val="27667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0697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475"/>
          <c:y val="0"/>
          <c:w val="0.26925"/>
          <c:h val="0.50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REPRESENTACIÓN DE LA 
GEOMETRÍA DEL CHORRO</a:t>
            </a:r>
          </a:p>
        </c:rich>
      </c:tx>
      <c:layout>
        <c:manualLayout>
          <c:xMode val="factor"/>
          <c:yMode val="factor"/>
          <c:x val="-0.087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6525"/>
          <c:w val="0.61875"/>
          <c:h val="0.6795"/>
        </c:manualLayout>
      </c:layout>
      <c:scatterChart>
        <c:scatterStyle val="lineMarker"/>
        <c:varyColors val="0"/>
        <c:ser>
          <c:idx val="0"/>
          <c:order val="0"/>
          <c:tx>
            <c:v>"y vs. X"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'OCW-CHORRO-ALT.MÁX'!$A$14:$A$43</c:f>
              <c:numCache/>
            </c:numRef>
          </c:xVal>
          <c:yVal>
            <c:numRef>
              <c:f>'OCW-CHORRO-ALT.MÁX'!$B$14:$B$43</c:f>
              <c:numCache/>
            </c:numRef>
          </c:yVal>
          <c:smooth val="0"/>
        </c:ser>
        <c:axId val="47680099"/>
        <c:axId val="26467708"/>
      </c:scatterChart>
      <c:valAx>
        <c:axId val="47680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467708"/>
        <c:crosses val="autoZero"/>
        <c:crossBetween val="midCat"/>
        <c:dispUnits/>
      </c:valAx>
      <c:valAx>
        <c:axId val="264677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680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725"/>
          <c:y val="0.0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creativecommons.org/licenses/by-nc-sa/3.0/deed.es" TargetMode="External" /><Relationship Id="rId3" Type="http://schemas.openxmlformats.org/officeDocument/2006/relationships/hyperlink" Target="http://creativecommons.org/licenses/by-nc-sa/3.0/deed.e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creativecommons.org/licenses/by-nc-sa/3.0/deed.es" TargetMode="External" /><Relationship Id="rId3" Type="http://schemas.openxmlformats.org/officeDocument/2006/relationships/hyperlink" Target="http://creativecommons.org/licenses/by-nc-sa/3.0/deed.es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hyperlink" Target="http://creativecommons.org/licenses/by-nc-sa/3.0/deed.es" TargetMode="External" /><Relationship Id="rId4" Type="http://schemas.openxmlformats.org/officeDocument/2006/relationships/hyperlink" Target="http://creativecommons.org/licenses/by-nc-sa/3.0/deed.e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png" /><Relationship Id="rId3" Type="http://schemas.openxmlformats.org/officeDocument/2006/relationships/hyperlink" Target="http://creativecommons.org/licenses/by-nc-sa/3.0/deed.es" TargetMode="External" /><Relationship Id="rId4" Type="http://schemas.openxmlformats.org/officeDocument/2006/relationships/hyperlink" Target="http://creativecommons.org/licenses/by-nc-sa/3.0/deed.e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creativecommons.org/licenses/by-nc-sa/3.0/deed.es" TargetMode="External" /><Relationship Id="rId3" Type="http://schemas.openxmlformats.org/officeDocument/2006/relationships/hyperlink" Target="http://creativecommons.org/licenses/by-nc-sa/3.0/deed.es" TargetMode="Externa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2</xdr:col>
      <xdr:colOff>76200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 rot="18848120">
          <a:off x="1019175" y="0"/>
          <a:ext cx="904875" cy="2438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SOLO PARA 
USO DOCENTE</a:t>
          </a:r>
        </a:p>
      </xdr:txBody>
    </xdr:sp>
    <xdr:clientData/>
  </xdr:twoCellAnchor>
  <xdr:twoCellAnchor>
    <xdr:from>
      <xdr:col>8</xdr:col>
      <xdr:colOff>133350</xdr:colOff>
      <xdr:row>7</xdr:row>
      <xdr:rowOff>47625</xdr:rowOff>
    </xdr:from>
    <xdr:to>
      <xdr:col>9</xdr:col>
      <xdr:colOff>457200</xdr:colOff>
      <xdr:row>9</xdr:row>
      <xdr:rowOff>114300</xdr:rowOff>
    </xdr:to>
    <xdr:pic>
      <xdr:nvPicPr>
        <xdr:cNvPr id="2" name="Picture 2" descr="http://campusvirtual.ull.es/ocw/file.php/1/logo-cc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81100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</xdr:row>
      <xdr:rowOff>66675</xdr:rowOff>
    </xdr:from>
    <xdr:to>
      <xdr:col>10</xdr:col>
      <xdr:colOff>552450</xdr:colOff>
      <xdr:row>32</xdr:row>
      <xdr:rowOff>38100</xdr:rowOff>
    </xdr:to>
    <xdr:grpSp>
      <xdr:nvGrpSpPr>
        <xdr:cNvPr id="1" name="Group 40"/>
        <xdr:cNvGrpSpPr>
          <a:grpSpLocks/>
        </xdr:cNvGrpSpPr>
      </xdr:nvGrpSpPr>
      <xdr:grpSpPr>
        <a:xfrm>
          <a:off x="1514475" y="1200150"/>
          <a:ext cx="6657975" cy="4019550"/>
          <a:chOff x="241" y="107"/>
          <a:chExt cx="908" cy="546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241" y="107"/>
            <a:ext cx="908" cy="546"/>
            <a:chOff x="3501" y="5944"/>
            <a:chExt cx="7200" cy="4140"/>
          </a:xfrm>
          <a:solidFill>
            <a:srgbClr val="FFFFFF"/>
          </a:solidFill>
        </xdr:grpSpPr>
        <xdr:grpSp>
          <xdr:nvGrpSpPr>
            <xdr:cNvPr id="3" name="Group 5"/>
            <xdr:cNvGrpSpPr>
              <a:grpSpLocks/>
            </xdr:cNvGrpSpPr>
          </xdr:nvGrpSpPr>
          <xdr:grpSpPr>
            <a:xfrm>
              <a:off x="3501" y="5944"/>
              <a:ext cx="7020" cy="3600"/>
              <a:chOff x="3501" y="5944"/>
              <a:chExt cx="7020" cy="3600"/>
            </a:xfrm>
            <a:solidFill>
              <a:srgbClr val="FFFFFF"/>
            </a:solidFill>
          </xdr:grpSpPr>
          <xdr:grpSp>
            <xdr:nvGrpSpPr>
              <xdr:cNvPr id="4" name="Group 6"/>
              <xdr:cNvGrpSpPr>
                <a:grpSpLocks/>
              </xdr:cNvGrpSpPr>
            </xdr:nvGrpSpPr>
            <xdr:grpSpPr>
              <a:xfrm>
                <a:off x="3501" y="5944"/>
                <a:ext cx="7020" cy="3600"/>
                <a:chOff x="3501" y="5944"/>
                <a:chExt cx="7020" cy="3600"/>
              </a:xfrm>
              <a:solidFill>
                <a:srgbClr val="FFFFFF"/>
              </a:solidFill>
            </xdr:grpSpPr>
            <xdr:sp>
              <xdr:nvSpPr>
                <xdr:cNvPr id="5" name="AutoShape 7"/>
                <xdr:cNvSpPr>
                  <a:spLocks/>
                </xdr:cNvSpPr>
              </xdr:nvSpPr>
              <xdr:spPr>
                <a:xfrm>
                  <a:off x="3861" y="6664"/>
                  <a:ext cx="6120" cy="2640"/>
                </a:xfrm>
                <a:custGeom>
                  <a:pathLst>
                    <a:path h="2640" w="6120">
                      <a:moveTo>
                        <a:pt x="0" y="840"/>
                      </a:moveTo>
                      <a:cubicBezTo>
                        <a:pt x="555" y="525"/>
                        <a:pt x="1110" y="210"/>
                        <a:pt x="1620" y="120"/>
                      </a:cubicBezTo>
                      <a:cubicBezTo>
                        <a:pt x="2130" y="30"/>
                        <a:pt x="2460" y="0"/>
                        <a:pt x="3060" y="300"/>
                      </a:cubicBezTo>
                      <a:cubicBezTo>
                        <a:pt x="3660" y="600"/>
                        <a:pt x="4710" y="1530"/>
                        <a:pt x="5220" y="1920"/>
                      </a:cubicBezTo>
                      <a:cubicBezTo>
                        <a:pt x="5730" y="2310"/>
                        <a:pt x="5925" y="2475"/>
                        <a:pt x="6120" y="2640"/>
                      </a:cubicBezTo>
                    </a:path>
                  </a:pathLst>
                </a:custGeom>
                <a:noFill/>
                <a:ln w="28575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" name="AutoShape 8"/>
                <xdr:cNvSpPr>
                  <a:spLocks/>
                </xdr:cNvSpPr>
              </xdr:nvSpPr>
              <xdr:spPr>
                <a:xfrm flipH="1">
                  <a:off x="3501" y="7384"/>
                  <a:ext cx="541" cy="360"/>
                </a:xfrm>
                <a:prstGeom prst="line">
                  <a:avLst/>
                </a:prstGeom>
                <a:noFill/>
                <a:ln w="571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AutoShape 9"/>
                <xdr:cNvSpPr>
                  <a:spLocks/>
                </xdr:cNvSpPr>
              </xdr:nvSpPr>
              <xdr:spPr>
                <a:xfrm flipV="1">
                  <a:off x="4042" y="5944"/>
                  <a:ext cx="0" cy="360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AutoShape 10"/>
                <xdr:cNvSpPr>
                  <a:spLocks/>
                </xdr:cNvSpPr>
              </xdr:nvSpPr>
              <xdr:spPr>
                <a:xfrm>
                  <a:off x="3861" y="9364"/>
                  <a:ext cx="666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AutoShape 11"/>
                <xdr:cNvSpPr>
                  <a:spLocks/>
                </xdr:cNvSpPr>
              </xdr:nvSpPr>
              <xdr:spPr>
                <a:xfrm rot="508976" flipV="1">
                  <a:off x="3861" y="7024"/>
                  <a:ext cx="720" cy="54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AutoShape 12"/>
                <xdr:cNvSpPr>
                  <a:spLocks/>
                </xdr:cNvSpPr>
              </xdr:nvSpPr>
              <xdr:spPr>
                <a:xfrm>
                  <a:off x="4042" y="7384"/>
                  <a:ext cx="54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" name="AutoShape 13"/>
                <xdr:cNvSpPr>
                  <a:spLocks/>
                </xdr:cNvSpPr>
              </xdr:nvSpPr>
              <xdr:spPr>
                <a:xfrm>
                  <a:off x="4221" y="7204"/>
                  <a:ext cx="181" cy="180"/>
                </a:xfrm>
                <a:custGeom>
                  <a:pathLst>
                    <a:path h="540" w="210">
                      <a:moveTo>
                        <a:pt x="0" y="0"/>
                      </a:moveTo>
                      <a:cubicBezTo>
                        <a:pt x="75" y="135"/>
                        <a:pt x="150" y="270"/>
                        <a:pt x="180" y="360"/>
                      </a:cubicBezTo>
                      <a:cubicBezTo>
                        <a:pt x="210" y="450"/>
                        <a:pt x="195" y="495"/>
                        <a:pt x="180" y="540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4" name="AutoShape 16"/>
              <xdr:cNvSpPr>
                <a:spLocks/>
              </xdr:cNvSpPr>
            </xdr:nvSpPr>
            <xdr:spPr>
              <a:xfrm>
                <a:off x="4401" y="7384"/>
                <a:ext cx="0" cy="198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" name="AutoShape 19"/>
            <xdr:cNvSpPr>
              <a:spLocks/>
            </xdr:cNvSpPr>
          </xdr:nvSpPr>
          <xdr:spPr>
            <a:xfrm>
              <a:off x="6201" y="6664"/>
              <a:ext cx="0" cy="27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1"/>
            <xdr:cNvSpPr>
              <a:spLocks/>
            </xdr:cNvSpPr>
          </xdr:nvSpPr>
          <xdr:spPr>
            <a:xfrm>
              <a:off x="4041" y="9544"/>
              <a:ext cx="216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5"/>
            <xdr:cNvSpPr>
              <a:spLocks/>
            </xdr:cNvSpPr>
          </xdr:nvSpPr>
          <xdr:spPr>
            <a:xfrm>
              <a:off x="8001" y="7744"/>
              <a:ext cx="720" cy="5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6"/>
            <xdr:cNvSpPr>
              <a:spLocks/>
            </xdr:cNvSpPr>
          </xdr:nvSpPr>
          <xdr:spPr>
            <a:xfrm>
              <a:off x="8001" y="7744"/>
              <a:ext cx="0" cy="5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7"/>
            <xdr:cNvSpPr>
              <a:spLocks/>
            </xdr:cNvSpPr>
          </xdr:nvSpPr>
          <xdr:spPr>
            <a:xfrm>
              <a:off x="8001" y="7744"/>
              <a:ext cx="7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8"/>
            <xdr:cNvSpPr>
              <a:spLocks/>
            </xdr:cNvSpPr>
          </xdr:nvSpPr>
          <xdr:spPr>
            <a:xfrm>
              <a:off x="8001" y="8284"/>
              <a:ext cx="7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9"/>
            <xdr:cNvSpPr>
              <a:spLocks/>
            </xdr:cNvSpPr>
          </xdr:nvSpPr>
          <xdr:spPr>
            <a:xfrm>
              <a:off x="8721" y="7744"/>
              <a:ext cx="0" cy="5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" name="AutoShape 33"/>
          <xdr:cNvSpPr>
            <a:spLocks/>
          </xdr:cNvSpPr>
        </xdr:nvSpPr>
        <xdr:spPr>
          <a:xfrm>
            <a:off x="842" y="344"/>
            <a:ext cx="16" cy="24"/>
          </a:xfrm>
          <a:custGeom>
            <a:pathLst>
              <a:path h="210" w="210">
                <a:moveTo>
                  <a:pt x="180" y="0"/>
                </a:moveTo>
                <a:cubicBezTo>
                  <a:pt x="195" y="75"/>
                  <a:pt x="210" y="150"/>
                  <a:pt x="180" y="180"/>
                </a:cubicBezTo>
                <a:cubicBezTo>
                  <a:pt x="150" y="210"/>
                  <a:pt x="75" y="195"/>
                  <a:pt x="0" y="18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6"/>
          <xdr:cNvSpPr>
            <a:spLocks/>
          </xdr:cNvSpPr>
        </xdr:nvSpPr>
        <xdr:spPr>
          <a:xfrm>
            <a:off x="409" y="299"/>
            <a:ext cx="1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7"/>
          <xdr:cNvSpPr>
            <a:spLocks/>
          </xdr:cNvSpPr>
        </xdr:nvSpPr>
        <xdr:spPr>
          <a:xfrm flipH="1">
            <a:off x="504" y="205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9"/>
          <xdr:cNvSpPr>
            <a:spLocks/>
          </xdr:cNvSpPr>
        </xdr:nvSpPr>
        <xdr:spPr>
          <a:xfrm flipV="1">
            <a:off x="542" y="205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447675</xdr:colOff>
      <xdr:row>14</xdr:row>
      <xdr:rowOff>85725</xdr:rowOff>
    </xdr:from>
    <xdr:to>
      <xdr:col>12</xdr:col>
      <xdr:colOff>9525</xdr:colOff>
      <xdr:row>16</xdr:row>
      <xdr:rowOff>142875</xdr:rowOff>
    </xdr:to>
    <xdr:pic>
      <xdr:nvPicPr>
        <xdr:cNvPr id="37" name="Picture 41" descr="http://campusvirtual.ull.es/ocw/file.php/1/logo-cc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352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85725</xdr:rowOff>
    </xdr:from>
    <xdr:to>
      <xdr:col>9</xdr:col>
      <xdr:colOff>28575</xdr:colOff>
      <xdr:row>25</xdr:row>
      <xdr:rowOff>76200</xdr:rowOff>
    </xdr:to>
    <xdr:graphicFrame>
      <xdr:nvGraphicFramePr>
        <xdr:cNvPr id="1" name="Chart 11"/>
        <xdr:cNvGraphicFramePr/>
      </xdr:nvGraphicFramePr>
      <xdr:xfrm>
        <a:off x="1828800" y="2533650"/>
        <a:ext cx="53149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31</xdr:row>
      <xdr:rowOff>142875</xdr:rowOff>
    </xdr:from>
    <xdr:to>
      <xdr:col>7</xdr:col>
      <xdr:colOff>523875</xdr:colOff>
      <xdr:row>34</xdr:row>
      <xdr:rowOff>47625</xdr:rowOff>
    </xdr:to>
    <xdr:pic>
      <xdr:nvPicPr>
        <xdr:cNvPr id="2" name="Picture 12" descr="http://campusvirtual.ull.es/ocw/file.php/1/logo-cc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5667375"/>
          <a:ext cx="1076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8</xdr:col>
      <xdr:colOff>752475</xdr:colOff>
      <xdr:row>31</xdr:row>
      <xdr:rowOff>28575</xdr:rowOff>
    </xdr:to>
    <xdr:graphicFrame>
      <xdr:nvGraphicFramePr>
        <xdr:cNvPr id="1" name="Chart 6"/>
        <xdr:cNvGraphicFramePr/>
      </xdr:nvGraphicFramePr>
      <xdr:xfrm>
        <a:off x="1638300" y="2667000"/>
        <a:ext cx="5295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30</xdr:row>
      <xdr:rowOff>142875</xdr:rowOff>
    </xdr:from>
    <xdr:to>
      <xdr:col>10</xdr:col>
      <xdr:colOff>685800</xdr:colOff>
      <xdr:row>33</xdr:row>
      <xdr:rowOff>38100</xdr:rowOff>
    </xdr:to>
    <xdr:pic>
      <xdr:nvPicPr>
        <xdr:cNvPr id="2" name="Picture 11" descr="http://campusvirtual.ull.es/ocw/file.php/1/logo-cc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054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32</xdr:row>
      <xdr:rowOff>114300</xdr:rowOff>
    </xdr:from>
    <xdr:to>
      <xdr:col>4</xdr:col>
      <xdr:colOff>190500</xdr:colOff>
      <xdr:row>43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209550" y="5324475"/>
          <a:ext cx="4572000" cy="1695450"/>
          <a:chOff x="2691" y="1866"/>
          <a:chExt cx="7188" cy="2671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7257" y="3062"/>
            <a:ext cx="16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8226" y="3062"/>
            <a:ext cx="0" cy="10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H="1">
            <a:off x="8303" y="3743"/>
            <a:ext cx="3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H="1">
            <a:off x="6344" y="2321"/>
            <a:ext cx="685" cy="9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4941" y="1979"/>
            <a:ext cx="0" cy="3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4199" y="2208"/>
            <a:ext cx="74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19</xdr:row>
      <xdr:rowOff>85725</xdr:rowOff>
    </xdr:from>
    <xdr:to>
      <xdr:col>4</xdr:col>
      <xdr:colOff>200025</xdr:colOff>
      <xdr:row>32</xdr:row>
      <xdr:rowOff>123825</xdr:rowOff>
    </xdr:to>
    <xdr:grpSp>
      <xdr:nvGrpSpPr>
        <xdr:cNvPr id="12" name="Group 12"/>
        <xdr:cNvGrpSpPr>
          <a:grpSpLocks/>
        </xdr:cNvGrpSpPr>
      </xdr:nvGrpSpPr>
      <xdr:grpSpPr>
        <a:xfrm>
          <a:off x="209550" y="3190875"/>
          <a:ext cx="4581525" cy="2143125"/>
          <a:chOff x="212" y="454"/>
          <a:chExt cx="481" cy="225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332" y="481"/>
            <a:ext cx="80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42" y="481"/>
            <a:ext cx="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flipH="1">
            <a:off x="357" y="557"/>
            <a:ext cx="36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74" y="481"/>
            <a:ext cx="0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 flipH="1">
            <a:off x="374" y="522"/>
            <a:ext cx="30" cy="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374" y="55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332" y="564"/>
            <a:ext cx="42" cy="4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 flipH="1">
            <a:off x="480" y="492"/>
            <a:ext cx="57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300" y="469"/>
            <a:ext cx="51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 flipV="1">
            <a:off x="361" y="50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361" y="462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323" y="522"/>
            <a:ext cx="38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7</xdr:row>
      <xdr:rowOff>76200</xdr:rowOff>
    </xdr:from>
    <xdr:to>
      <xdr:col>9</xdr:col>
      <xdr:colOff>104775</xdr:colOff>
      <xdr:row>23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829175" y="1238250"/>
          <a:ext cx="3676650" cy="2533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Los valores de m, para el cálculo del caudal de vertedores no sumergidos, pueden tomarse, en una primera aproximación, según:
 1-Escalón de vertimiento, m = 0,385
2- Vertedor de pared delgada, m = 0.42
 2-Vertedor de perfil práctico sin vacío, m = 0.45
 3-Vertedor de perfil práctico con vacío, m = 0.50~0.55
 4-Vertedor de umbral ancho, m = 0.35
5- Vertimiento sobre el fondo, m = 0,385
</a:t>
          </a:r>
        </a:p>
      </xdr:txBody>
    </xdr:sp>
    <xdr:clientData/>
  </xdr:twoCellAnchor>
  <xdr:twoCellAnchor>
    <xdr:from>
      <xdr:col>0</xdr:col>
      <xdr:colOff>666750</xdr:colOff>
      <xdr:row>7</xdr:row>
      <xdr:rowOff>142875</xdr:rowOff>
    </xdr:from>
    <xdr:to>
      <xdr:col>4</xdr:col>
      <xdr:colOff>28575</xdr:colOff>
      <xdr:row>17</xdr:row>
      <xdr:rowOff>38100</xdr:rowOff>
    </xdr:to>
    <xdr:grpSp>
      <xdr:nvGrpSpPr>
        <xdr:cNvPr id="32" name="Group 32"/>
        <xdr:cNvGrpSpPr>
          <a:grpSpLocks/>
        </xdr:cNvGrpSpPr>
      </xdr:nvGrpSpPr>
      <xdr:grpSpPr>
        <a:xfrm>
          <a:off x="666750" y="1304925"/>
          <a:ext cx="3952875" cy="1514475"/>
          <a:chOff x="605" y="438"/>
          <a:chExt cx="415" cy="159"/>
        </a:xfrm>
        <a:solidFill>
          <a:srgbClr val="FFFFFF"/>
        </a:solidFill>
      </xdr:grpSpPr>
      <xdr:sp>
        <xdr:nvSpPr>
          <xdr:cNvPr id="35" name="AutoShape 35"/>
          <xdr:cNvSpPr>
            <a:spLocks/>
          </xdr:cNvSpPr>
        </xdr:nvSpPr>
        <xdr:spPr>
          <a:xfrm>
            <a:off x="723" y="454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 flipV="1">
            <a:off x="764" y="45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 flipH="1">
            <a:off x="764" y="461"/>
            <a:ext cx="57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749" y="473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734" y="473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 flipV="1">
            <a:off x="723" y="488"/>
            <a:ext cx="26" cy="7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780" y="511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749" y="530"/>
            <a:ext cx="27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 flipH="1">
            <a:off x="814" y="495"/>
            <a:ext cx="61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749" y="438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705" y="454"/>
            <a:ext cx="4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142875</xdr:colOff>
      <xdr:row>1</xdr:row>
      <xdr:rowOff>66675</xdr:rowOff>
    </xdr:from>
    <xdr:to>
      <xdr:col>7</xdr:col>
      <xdr:colOff>457200</xdr:colOff>
      <xdr:row>3</xdr:row>
      <xdr:rowOff>123825</xdr:rowOff>
    </xdr:to>
    <xdr:pic>
      <xdr:nvPicPr>
        <xdr:cNvPr id="50" name="Picture 50" descr="http://campusvirtual.ull.es/ocw/file.php/1/logo-cc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5717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lo\Escritorio\CLASES%2008-%2009\TEMA%2010%20HIDR%20ALIV%20Y%20O%20TOMA\Copia%20de%20Hidrog_sintetico_S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nzalo\Escritorio\LIBROS%20EXCEL%20ING.%20HIDRAULICA\CURSOS%2007-%2010%20EXCEL%20Y%20MATHCAD\TUBERIAS%20A%20PRESION\LIBROS%20EXCEL%20ING.%20HIDRAULICA\CURSO%2007-%2008%20EXCEL%20Y%20MATHCAD\ING-HIDRAU-HIDROLOGIA\PRACTICAS-PHYWE\SOFTWARE-APRENDIZAJE\hm15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r (clases JE 2008-09)"/>
      <sheetName val="Triangular"/>
    </sheetNames>
    <sheetDataSet>
      <sheetData sheetId="1">
        <row r="4">
          <cell r="B4">
            <v>8.2</v>
          </cell>
          <cell r="E4">
            <v>0.004878048780487805</v>
          </cell>
        </row>
        <row r="5">
          <cell r="B5">
            <v>1030</v>
          </cell>
          <cell r="E5">
            <v>155.75873436036244</v>
          </cell>
        </row>
        <row r="6">
          <cell r="B6">
            <v>990</v>
          </cell>
          <cell r="E6">
            <v>2.5959789060060405</v>
          </cell>
        </row>
        <row r="7">
          <cell r="B7">
            <v>32</v>
          </cell>
          <cell r="E7">
            <v>2.5575873436036245</v>
          </cell>
        </row>
        <row r="8">
          <cell r="B8">
            <v>8</v>
          </cell>
          <cell r="E8">
            <v>6.828758207421677</v>
          </cell>
        </row>
        <row r="9">
          <cell r="B9">
            <v>2</v>
          </cell>
          <cell r="E9">
            <v>20.819621325218908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ing page"/>
      <sheetName val="Volumetric Flow Measurement"/>
      <sheetName val="Pipe Friction Losses "/>
      <sheetName val="Pressure Gauge Calibration"/>
      <sheetName val="Flow over a Notch"/>
      <sheetName val=" Pump Test"/>
      <sheetName val="Hydrostatic Pressure"/>
      <sheetName val="Metacentric Height"/>
      <sheetName val="Bernoulli's Theorem"/>
      <sheetName val="Impact of Jet"/>
      <sheetName val="Orifice and Jet"/>
      <sheetName val="Fluid Friction"/>
      <sheetName val="Orifice Discharge"/>
      <sheetName val="Flowmeter Demonstration"/>
      <sheetName val="Free and Forced Vortex"/>
      <sheetName val="Hydraulic Ram"/>
      <sheetName val="Osborne Reynolds"/>
      <sheetName val="Pelton Turbine"/>
      <sheetName val="Francis Turbine"/>
      <sheetName val=" Losses in Pipes and Bends"/>
      <sheetName val=" Information"/>
      <sheetName val="Symbols and Un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J20" sqref="J20"/>
    </sheetView>
  </sheetViews>
  <sheetFormatPr defaultColWidth="11.421875" defaultRowHeight="12.75"/>
  <cols>
    <col min="2" max="2" width="16.28125" style="0" customWidth="1"/>
  </cols>
  <sheetData>
    <row r="1" spans="1:12" s="70" customFormat="1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70" customFormat="1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70" customFormat="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70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70" customFormat="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70" customFormat="1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s="70" customFormat="1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70" customFormat="1" ht="12.75">
      <c r="A8" s="71"/>
      <c r="B8" s="71"/>
      <c r="C8" s="71"/>
      <c r="D8" s="71"/>
      <c r="E8" s="72" t="s">
        <v>50</v>
      </c>
      <c r="F8" s="71"/>
      <c r="G8" s="71"/>
      <c r="H8" s="71"/>
      <c r="I8" s="71"/>
      <c r="J8" s="71"/>
      <c r="K8" s="71"/>
      <c r="L8" s="71"/>
    </row>
    <row r="9" spans="1:12" s="70" customFormat="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s="70" customFormat="1" ht="12.75">
      <c r="A10" s="71"/>
      <c r="B10" s="71"/>
      <c r="C10" s="71"/>
      <c r="D10" s="71"/>
      <c r="E10" s="72" t="s">
        <v>48</v>
      </c>
      <c r="F10" s="71"/>
      <c r="G10" s="71"/>
      <c r="H10" s="71"/>
      <c r="I10" s="71"/>
      <c r="J10" s="71"/>
      <c r="K10" s="71"/>
      <c r="L10" s="71"/>
    </row>
    <row r="11" spans="1:12" s="70" customFormat="1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s="70" customFormat="1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70" customFormat="1" ht="12.75">
      <c r="A13" s="71"/>
      <c r="B13" s="71"/>
      <c r="C13" s="71"/>
      <c r="D13" s="72" t="s">
        <v>49</v>
      </c>
      <c r="E13" s="71"/>
      <c r="F13" s="71"/>
      <c r="G13" s="71"/>
      <c r="H13" s="71"/>
      <c r="I13" s="71"/>
      <c r="J13" s="71"/>
      <c r="K13" s="71"/>
      <c r="L13" s="71"/>
    </row>
    <row r="14" spans="1:12" s="70" customFormat="1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s="70" customFormat="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s="70" customFormat="1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70" customFormat="1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s="70" customFormat="1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s="70" customFormat="1" ht="12.75">
      <c r="A19" s="71"/>
      <c r="B19" s="71" t="s">
        <v>51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s="70" customFormat="1" ht="12.75">
      <c r="A20" s="71"/>
      <c r="B20" s="71" t="s">
        <v>52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s="70" customFormat="1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s="70" customFormat="1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s="70" customFormat="1" ht="13.5" thickBo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s="70" customFormat="1" ht="13.5" thickBot="1">
      <c r="A24" s="71"/>
      <c r="B24" s="73" t="s">
        <v>53</v>
      </c>
      <c r="C24" s="71"/>
      <c r="D24" s="76" t="s">
        <v>56</v>
      </c>
      <c r="E24" s="77"/>
      <c r="F24" s="77"/>
      <c r="G24" s="78"/>
      <c r="H24" s="71"/>
      <c r="I24" s="71"/>
      <c r="J24" s="71"/>
      <c r="K24" s="71"/>
      <c r="L24" s="71"/>
    </row>
    <row r="25" spans="1:12" s="70" customFormat="1" ht="13.5" thickBot="1">
      <c r="A25" s="71"/>
      <c r="B25" s="74" t="s">
        <v>54</v>
      </c>
      <c r="C25" s="71"/>
      <c r="D25" s="79" t="s">
        <v>57</v>
      </c>
      <c r="E25" s="80"/>
      <c r="F25" s="80"/>
      <c r="G25" s="81"/>
      <c r="H25" s="71"/>
      <c r="I25" s="71"/>
      <c r="J25" s="71"/>
      <c r="K25" s="71"/>
      <c r="L25" s="71"/>
    </row>
    <row r="26" spans="1:12" s="70" customFormat="1" ht="13.5" thickBot="1">
      <c r="A26" s="71"/>
      <c r="B26" s="75" t="s">
        <v>55</v>
      </c>
      <c r="C26" s="71"/>
      <c r="D26" s="82" t="s">
        <v>58</v>
      </c>
      <c r="E26" s="83"/>
      <c r="F26" s="83"/>
      <c r="G26" s="84"/>
      <c r="H26" s="71"/>
      <c r="I26" s="71"/>
      <c r="J26" s="71"/>
      <c r="K26" s="71"/>
      <c r="L26" s="71"/>
    </row>
    <row r="27" spans="1:12" s="70" customFormat="1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5" zoomScaleNormal="75" workbookViewId="0" topLeftCell="C1">
      <selection activeCell="Q4" sqref="Q4"/>
    </sheetView>
  </sheetViews>
  <sheetFormatPr defaultColWidth="11.421875" defaultRowHeight="12.75"/>
  <sheetData>
    <row r="1" spans="1:16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2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2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2.75">
      <c r="A14" s="66"/>
      <c r="B14" s="66"/>
      <c r="C14" s="66"/>
      <c r="D14" s="6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2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2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2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2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K6" sqref="K6"/>
    </sheetView>
  </sheetViews>
  <sheetFormatPr defaultColWidth="11.421875" defaultRowHeight="12.75"/>
  <cols>
    <col min="1" max="1" width="15.28125" style="0" customWidth="1"/>
  </cols>
  <sheetData>
    <row r="1" spans="1:15" ht="29.25" customHeight="1">
      <c r="A1" s="40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58" t="s">
        <v>0</v>
      </c>
      <c r="B2" s="85" t="s">
        <v>59</v>
      </c>
      <c r="C2" s="86"/>
      <c r="D2" s="86"/>
      <c r="E2" s="86"/>
      <c r="F2" s="86"/>
      <c r="G2" s="86"/>
      <c r="H2" s="86"/>
      <c r="I2" s="87"/>
      <c r="J2" s="7"/>
      <c r="K2" s="7"/>
      <c r="L2" s="7"/>
      <c r="M2" s="7"/>
      <c r="N2" s="7"/>
      <c r="O2" s="7"/>
    </row>
    <row r="3" spans="1:15" ht="12.75">
      <c r="A3" s="59" t="s">
        <v>1</v>
      </c>
      <c r="B3" s="88"/>
      <c r="C3" s="89"/>
      <c r="D3" s="89"/>
      <c r="E3" s="89"/>
      <c r="F3" s="89"/>
      <c r="G3" s="89"/>
      <c r="H3" s="89"/>
      <c r="I3" s="90"/>
      <c r="J3" s="7"/>
      <c r="K3" s="7"/>
      <c r="L3" s="7"/>
      <c r="M3" s="7"/>
      <c r="N3" s="7"/>
      <c r="O3" s="7"/>
    </row>
    <row r="4" spans="1:15" ht="18">
      <c r="A4" s="5" t="s">
        <v>2</v>
      </c>
      <c r="B4" s="1"/>
      <c r="C4" s="1"/>
      <c r="D4" s="1"/>
      <c r="E4" s="2"/>
      <c r="F4" s="2"/>
      <c r="G4" s="2"/>
      <c r="H4" s="2"/>
      <c r="I4" s="4"/>
      <c r="J4" s="7"/>
      <c r="K4" s="7"/>
      <c r="L4" s="7"/>
      <c r="M4" s="7"/>
      <c r="N4" s="7"/>
      <c r="O4" s="7"/>
    </row>
    <row r="5" spans="1:15" ht="12.75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7"/>
      <c r="N5" s="7"/>
      <c r="O5" s="7"/>
    </row>
    <row r="6" spans="1:15" ht="19.5">
      <c r="A6" s="9" t="s">
        <v>19</v>
      </c>
      <c r="B6" s="10">
        <v>10</v>
      </c>
      <c r="C6" s="11" t="s">
        <v>3</v>
      </c>
      <c r="D6" s="12" t="s">
        <v>20</v>
      </c>
      <c r="E6" s="10">
        <v>0.05</v>
      </c>
      <c r="F6" s="11" t="s">
        <v>3</v>
      </c>
      <c r="G6" s="13" t="s">
        <v>21</v>
      </c>
      <c r="H6" s="10">
        <v>30</v>
      </c>
      <c r="I6" s="14">
        <v>0</v>
      </c>
      <c r="J6" s="7"/>
      <c r="K6" s="7"/>
      <c r="L6" s="7"/>
      <c r="M6" s="7"/>
      <c r="N6" s="7"/>
      <c r="O6" s="7"/>
    </row>
    <row r="7" spans="1:15" ht="12.75">
      <c r="A7" s="6"/>
      <c r="B7" s="7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</row>
    <row r="8" spans="1:15" ht="18">
      <c r="A8" s="15" t="s">
        <v>4</v>
      </c>
      <c r="B8" s="16"/>
      <c r="C8" s="17"/>
      <c r="D8" s="18"/>
      <c r="E8" s="18"/>
      <c r="F8" s="19"/>
      <c r="G8" s="19"/>
      <c r="H8" s="19"/>
      <c r="I8" s="4"/>
      <c r="J8" s="7"/>
      <c r="K8" s="7"/>
      <c r="L8" s="7"/>
      <c r="M8" s="7"/>
      <c r="N8" s="7"/>
      <c r="O8" s="7"/>
    </row>
    <row r="9" spans="1:15" ht="12.75">
      <c r="A9" s="20" t="s">
        <v>5</v>
      </c>
      <c r="B9" s="20"/>
      <c r="C9" s="21"/>
      <c r="D9" s="20" t="s">
        <v>6</v>
      </c>
      <c r="E9" s="20"/>
      <c r="F9" s="21"/>
      <c r="G9" s="20" t="s">
        <v>22</v>
      </c>
      <c r="H9" s="20"/>
      <c r="I9" s="21"/>
      <c r="J9" s="7"/>
      <c r="K9" s="7"/>
      <c r="L9" s="7"/>
      <c r="M9" s="7"/>
      <c r="N9" s="7"/>
      <c r="O9" s="7"/>
    </row>
    <row r="10" spans="1:15" ht="15.75">
      <c r="A10" s="22" t="s">
        <v>7</v>
      </c>
      <c r="B10" s="23">
        <f>(B6/COS(H6*3.1416/180))*((9.81/2)/((TAN(H6*3.1416/180))*B6+E6))^0.5</f>
        <v>10.597329358440259</v>
      </c>
      <c r="C10" s="24" t="s">
        <v>8</v>
      </c>
      <c r="D10" s="22" t="s">
        <v>23</v>
      </c>
      <c r="E10" s="23">
        <f>((((B10*SIN(H6*3.1416/180))+(19.62*E6)^0.5)^2)+(B10*COS(H6*3.1416/180))^2)^0.5</f>
        <v>11.12567228162802</v>
      </c>
      <c r="F10" s="24" t="s">
        <v>8</v>
      </c>
      <c r="G10" s="25" t="s">
        <v>24</v>
      </c>
      <c r="H10" s="23">
        <f>ATAN((((((E10*SIN(H6*3.1416/180))+(19.62*E6)^0.5)^2)+(E10*COS(H6*3.1416/180))^2)^0.5)/(B10*COS(H6*3.1416/180)))*180/3.1416</f>
        <v>51.77581940272442</v>
      </c>
      <c r="I10" s="24" t="s">
        <v>9</v>
      </c>
      <c r="J10" s="7"/>
      <c r="K10" s="7"/>
      <c r="L10" s="7"/>
      <c r="M10" s="7"/>
      <c r="N10" s="7"/>
      <c r="O10" s="7"/>
    </row>
    <row r="11" spans="1:15" ht="12.75">
      <c r="A11" s="26" t="s">
        <v>10</v>
      </c>
      <c r="B11" s="27"/>
      <c r="C11" s="27"/>
      <c r="D11" s="28"/>
      <c r="E11" s="28"/>
      <c r="F11" s="29"/>
      <c r="G11" s="30" t="s">
        <v>11</v>
      </c>
      <c r="H11" s="31"/>
      <c r="I11" s="32">
        <v>65</v>
      </c>
      <c r="J11" s="7"/>
      <c r="K11" s="7"/>
      <c r="L11" s="7"/>
      <c r="M11" s="7"/>
      <c r="N11" s="7"/>
      <c r="O11" s="7"/>
    </row>
    <row r="12" spans="1:15" ht="15.75">
      <c r="A12" s="28" t="s">
        <v>12</v>
      </c>
      <c r="B12" s="10">
        <v>5</v>
      </c>
      <c r="C12" s="11" t="s">
        <v>13</v>
      </c>
      <c r="D12" s="28" t="s">
        <v>14</v>
      </c>
      <c r="E12" s="33">
        <f>B10*((3.1416/4)*(B12/1000)^2)*60000</f>
        <v>12.484713717178469</v>
      </c>
      <c r="F12" s="34" t="s">
        <v>15</v>
      </c>
      <c r="G12" s="28" t="s">
        <v>25</v>
      </c>
      <c r="H12" s="35">
        <f>E12*I11</f>
        <v>811.5063916166005</v>
      </c>
      <c r="I12" s="36" t="s">
        <v>15</v>
      </c>
      <c r="J12" s="7"/>
      <c r="K12" s="7"/>
      <c r="L12" s="7"/>
      <c r="M12" s="7"/>
      <c r="N12" s="7"/>
      <c r="O12" s="7"/>
    </row>
    <row r="13" spans="1:15" ht="12.75">
      <c r="A13" s="37" t="s">
        <v>16</v>
      </c>
      <c r="B13" s="2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22" t="s">
        <v>17</v>
      </c>
      <c r="B14" s="22" t="s">
        <v>18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38">
        <v>0</v>
      </c>
      <c r="B15" s="38"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38">
        <f>B6/10</f>
        <v>1</v>
      </c>
      <c r="B16" s="38">
        <f>(TAN(H6*3.1416/180))*A16-(0.5*A16^2)*(9.81/((B10^2)*(COS(H2*3.1416/180))^2))</f>
        <v>0.5336755708473861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38">
        <f>A16+A16</f>
        <v>2</v>
      </c>
      <c r="B17" s="38">
        <f>(TAN(H6*3.1416/180))*A17-(0.5*A17^2)*(9.81/((B10^2)*(COS(H6*3.1416/180))^2))</f>
        <v>0.9217630427622103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38">
        <f>A17+A16</f>
        <v>3</v>
      </c>
      <c r="B18" s="38">
        <f>(TAN(H6*3.1416/180))*A18-(0.5*A18^2)*(9.81/((B10^2)*(COS(H6*3.1416/180))^2))</f>
        <v>1.207938993625401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38">
        <f>A18+A16</f>
        <v>4</v>
      </c>
      <c r="B19" s="38">
        <f>(TAN(H6*3.1416/180))*A19-(0.5*A19^2)*(9.81/((B10^2)*(COS(H6*3.1416/180))^2))</f>
        <v>1.3776445641433157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38">
        <f>A19+A16</f>
        <v>5</v>
      </c>
      <c r="B20" s="38">
        <f>(TAN(H6*3.1416/180))*A20-(0.5*A20^2)*(9.81/((B10^2)*(COS(H6*3.1416/180))^2))</f>
        <v>1.4308797543159537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38">
        <f>A20+A16</f>
        <v>6</v>
      </c>
      <c r="B21" s="38">
        <f>(TAN(H6*3.1416/180))*A21-(0.5*A21^2)*(9.81/((B10^2)*(COS(H6*3.1416/180))^2))</f>
        <v>1.367644564143316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38">
        <f>A21+A16</f>
        <v>7</v>
      </c>
      <c r="B22" s="38">
        <f>(TAN(H6*3.1416/180))*A22-(0.5*A22^2)*(9.81/((B10^2)*(COS(H6*3.1416/180))^2))</f>
        <v>1.1879389936254015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38">
        <f>A22+A16</f>
        <v>8</v>
      </c>
      <c r="B23" s="38">
        <f>(TAN(H6*3.1416/180))*A23-(0.5*A23^2)*(9.81/((B10^2)*(COS(H6*3.1416/180))^2))</f>
        <v>0.8917630427622112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38">
        <f>A23+A16</f>
        <v>9</v>
      </c>
      <c r="B24" s="38">
        <f>(TAN(H6*3.1416/180))*A24-(0.5*A24^2)*(9.81/((B10^2)*(COS(H6*3.1416/180))^2))</f>
        <v>0.47911671155374513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38">
        <f>A24+A16</f>
        <v>10</v>
      </c>
      <c r="B25" s="38">
        <f>(TAN(H6*3.1416/180))*A25-(0.5*A25^2)*(9.81/((B10^2)*(COS(H6*3.1416/180))^2))</f>
        <v>-0.049999999999998934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60"/>
      <c r="B26" s="6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60"/>
      <c r="B27" s="6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mergeCells count="1">
    <mergeCell ref="B2:I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workbookViewId="0" topLeftCell="A1">
      <selection activeCell="L8" sqref="L8"/>
    </sheetView>
  </sheetViews>
  <sheetFormatPr defaultColWidth="11.421875" defaultRowHeight="12.75"/>
  <cols>
    <col min="2" max="2" width="12.7109375" style="0" customWidth="1"/>
  </cols>
  <sheetData>
    <row r="1" spans="1:18" ht="26.25">
      <c r="A1" s="40" t="s">
        <v>27</v>
      </c>
      <c r="B1" s="41"/>
      <c r="C1" s="41"/>
      <c r="D1" s="41"/>
      <c r="E1" s="41"/>
      <c r="F1" s="41"/>
      <c r="G1" s="42"/>
      <c r="H1" s="42"/>
      <c r="I1" s="43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44" t="s">
        <v>60</v>
      </c>
      <c r="B2" s="45"/>
      <c r="C2" s="20"/>
      <c r="D2" s="20"/>
      <c r="E2" s="20"/>
      <c r="F2" s="20"/>
      <c r="G2" s="45"/>
      <c r="H2" s="7"/>
      <c r="I2" s="8"/>
      <c r="J2" s="7"/>
      <c r="K2" s="7"/>
      <c r="L2" s="7"/>
      <c r="M2" s="7"/>
      <c r="N2" s="7"/>
      <c r="O2" s="7"/>
      <c r="P2" s="7"/>
      <c r="Q2" s="7"/>
      <c r="R2" s="7"/>
    </row>
    <row r="3" spans="1:18" ht="24.75" customHeight="1">
      <c r="A3" s="46" t="s">
        <v>43</v>
      </c>
      <c r="B3" s="1"/>
      <c r="C3" s="1"/>
      <c r="D3" s="1"/>
      <c r="E3" s="2"/>
      <c r="F3" s="3"/>
      <c r="G3" s="2"/>
      <c r="H3" s="2"/>
      <c r="I3" s="4"/>
      <c r="J3" s="61"/>
      <c r="K3" s="7"/>
      <c r="L3" s="7"/>
      <c r="M3" s="7"/>
      <c r="N3" s="7"/>
      <c r="O3" s="7"/>
      <c r="P3" s="7"/>
      <c r="Q3" s="7"/>
      <c r="R3" s="7"/>
    </row>
    <row r="4" spans="1:18" ht="24" customHeight="1">
      <c r="A4" s="56" t="s">
        <v>41</v>
      </c>
      <c r="B4" s="57" t="s">
        <v>42</v>
      </c>
      <c r="C4" s="1"/>
      <c r="D4" s="1"/>
      <c r="E4" s="2"/>
      <c r="F4" s="2"/>
      <c r="G4" s="2"/>
      <c r="H4" s="2"/>
      <c r="I4" s="4"/>
      <c r="J4" s="61"/>
      <c r="K4" s="7"/>
      <c r="L4" s="7"/>
      <c r="M4" s="7"/>
      <c r="N4" s="7"/>
      <c r="O4" s="7"/>
      <c r="P4" s="7"/>
      <c r="Q4" s="7"/>
      <c r="R4" s="7"/>
    </row>
    <row r="5" spans="1:18" ht="12.75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  <c r="M5" s="7"/>
      <c r="N5" s="7"/>
      <c r="O5" s="7"/>
      <c r="P5" s="7"/>
      <c r="Q5" s="7"/>
      <c r="R5" s="7"/>
    </row>
    <row r="6" spans="1:18" ht="19.5">
      <c r="A6" s="47" t="s">
        <v>44</v>
      </c>
      <c r="B6" s="10">
        <v>3.31</v>
      </c>
      <c r="C6" s="11" t="s">
        <v>3</v>
      </c>
      <c r="D6" s="12" t="s">
        <v>20</v>
      </c>
      <c r="E6" s="10">
        <v>3</v>
      </c>
      <c r="F6" s="11" t="s">
        <v>3</v>
      </c>
      <c r="G6" s="13" t="s">
        <v>21</v>
      </c>
      <c r="H6" s="10">
        <v>50</v>
      </c>
      <c r="I6" s="14">
        <v>0</v>
      </c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6"/>
      <c r="B7" s="7"/>
      <c r="C7" s="7"/>
      <c r="D7" s="7"/>
      <c r="E7" s="7"/>
      <c r="F7" s="7"/>
      <c r="G7" s="13" t="s">
        <v>21</v>
      </c>
      <c r="H7" s="48">
        <f>H6*3.14159/180</f>
        <v>0.8726638888888889</v>
      </c>
      <c r="I7" s="34" t="s">
        <v>33</v>
      </c>
      <c r="J7" s="7"/>
      <c r="K7" s="7"/>
      <c r="L7" s="7"/>
      <c r="M7" s="7"/>
      <c r="N7" s="7"/>
      <c r="O7" s="7"/>
      <c r="P7" s="7"/>
      <c r="Q7" s="7"/>
      <c r="R7" s="7"/>
    </row>
    <row r="8" spans="1:18" ht="18">
      <c r="A8" s="15" t="s">
        <v>26</v>
      </c>
      <c r="B8" s="16"/>
      <c r="C8" s="17"/>
      <c r="D8" s="18"/>
      <c r="E8" s="18"/>
      <c r="F8" s="19"/>
      <c r="G8" s="19"/>
      <c r="H8" s="19"/>
      <c r="I8" s="4"/>
      <c r="J8" s="7"/>
      <c r="K8" s="7"/>
      <c r="L8" s="7"/>
      <c r="M8" s="7"/>
      <c r="N8" s="7"/>
      <c r="O8" s="7"/>
      <c r="P8" s="7"/>
      <c r="Q8" s="7"/>
      <c r="R8" s="7"/>
    </row>
    <row r="9" spans="1:18" ht="19.5">
      <c r="A9" s="22" t="s">
        <v>45</v>
      </c>
      <c r="B9" s="23">
        <f>(B6-E6)/(0.5*TAN(H6*3.1416/180))</f>
        <v>0.5202396152955097</v>
      </c>
      <c r="C9" s="36" t="s">
        <v>3</v>
      </c>
      <c r="D9" s="26" t="s">
        <v>10</v>
      </c>
      <c r="E9" s="27"/>
      <c r="F9" s="27"/>
      <c r="G9" s="27"/>
      <c r="H9" s="27"/>
      <c r="I9" s="49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12" t="s">
        <v>32</v>
      </c>
      <c r="B10" s="23">
        <f>(B11^2*(SIN(H7))*(COS(H7))/9.81)+(B11*COS(H7))*((B11*(SIN(H7))/9.81)^2+(2*E6/9.81)^0.5)</f>
        <v>2.269422413094904</v>
      </c>
      <c r="C10" s="36" t="s">
        <v>3</v>
      </c>
      <c r="D10" s="28" t="s">
        <v>12</v>
      </c>
      <c r="E10" s="10">
        <v>5</v>
      </c>
      <c r="F10" s="11" t="s">
        <v>13</v>
      </c>
      <c r="G10" s="28" t="s">
        <v>28</v>
      </c>
      <c r="H10" s="38">
        <f>(3.1416/4)*((E10/1000)^2)*B11*60000</f>
        <v>3.792781240276838</v>
      </c>
      <c r="I10" s="34" t="s">
        <v>15</v>
      </c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22" t="s">
        <v>7</v>
      </c>
      <c r="B11" s="23">
        <f>((2*9.81*(B6-E6))/(SIN($H$6*3.1416/180))^2)^0.5</f>
        <v>3.2194051780636945</v>
      </c>
      <c r="C11" s="50" t="s">
        <v>8</v>
      </c>
      <c r="D11" s="26" t="s">
        <v>29</v>
      </c>
      <c r="E11" s="27"/>
      <c r="F11" s="27"/>
      <c r="G11" s="27"/>
      <c r="H11" s="27"/>
      <c r="I11" s="51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37" t="s">
        <v>16</v>
      </c>
      <c r="B12" s="26"/>
      <c r="C12" s="51"/>
      <c r="D12" s="28" t="s">
        <v>30</v>
      </c>
      <c r="E12" s="52"/>
      <c r="F12" s="53">
        <v>10</v>
      </c>
      <c r="G12" s="22" t="s">
        <v>31</v>
      </c>
      <c r="H12" s="38">
        <f>F12*H10</f>
        <v>37.92781240276838</v>
      </c>
      <c r="I12" s="34" t="s">
        <v>15</v>
      </c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54" t="s">
        <v>17</v>
      </c>
      <c r="B13" s="54" t="s">
        <v>18</v>
      </c>
      <c r="D13" s="39"/>
      <c r="E13" s="39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38">
        <v>0</v>
      </c>
      <c r="B14" s="55">
        <f>$E$6</f>
        <v>3</v>
      </c>
      <c r="D14" s="39"/>
      <c r="E14" s="39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38">
        <f>0.1*B9</f>
        <v>0.052023961529550966</v>
      </c>
      <c r="B15" s="38">
        <f aca="true" t="shared" si="0" ref="B15:B43">TAN($H$6*3.1416/180)*A15+$E$6-0.5*(9.81/$B$11^2)/((COS($H$6*3.1416/180))^2)*A15^2</f>
        <v>3.0589</v>
      </c>
      <c r="D15" s="39"/>
      <c r="E15" s="39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38">
        <f>0.2*B9</f>
        <v>0.10404792305910193</v>
      </c>
      <c r="B16" s="38">
        <f t="shared" si="0"/>
        <v>3.1116</v>
      </c>
      <c r="D16" s="39"/>
      <c r="E16" s="39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38">
        <f>0.3*B9</f>
        <v>0.1560718845886529</v>
      </c>
      <c r="B17" s="38">
        <f t="shared" si="0"/>
        <v>3.1581</v>
      </c>
      <c r="D17" s="39"/>
      <c r="E17" s="39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38">
        <f>0.4*B9</f>
        <v>0.20809584611820386</v>
      </c>
      <c r="B18" s="38">
        <f t="shared" si="0"/>
        <v>3.1984000000000004</v>
      </c>
      <c r="D18" s="39"/>
      <c r="E18" s="39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38">
        <f>0.5*B9</f>
        <v>0.26011980764775483</v>
      </c>
      <c r="B19" s="38">
        <f t="shared" si="0"/>
        <v>3.2325</v>
      </c>
      <c r="D19" s="39"/>
      <c r="E19" s="39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38">
        <f>0.6*B9</f>
        <v>0.3121437691773058</v>
      </c>
      <c r="B20" s="38">
        <f t="shared" si="0"/>
        <v>3.2603999999999997</v>
      </c>
      <c r="D20" s="39"/>
      <c r="E20" s="39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38">
        <f>0.7*B9</f>
        <v>0.36416773070685676</v>
      </c>
      <c r="B21" s="38">
        <f t="shared" si="0"/>
        <v>3.2821000000000002</v>
      </c>
      <c r="D21" s="39"/>
      <c r="E21" s="39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38">
        <f>0.8*B9</f>
        <v>0.41619169223640773</v>
      </c>
      <c r="B22" s="38">
        <f t="shared" si="0"/>
        <v>3.2976</v>
      </c>
      <c r="D22" s="39"/>
      <c r="E22" s="39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38">
        <f>0.9*B9</f>
        <v>0.4682156537659587</v>
      </c>
      <c r="B23" s="38">
        <f t="shared" si="0"/>
        <v>3.3069</v>
      </c>
      <c r="D23" s="39"/>
      <c r="E23" s="39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38">
        <f>B9</f>
        <v>0.5202396152955097</v>
      </c>
      <c r="B24" s="38">
        <f t="shared" si="0"/>
        <v>3.31</v>
      </c>
      <c r="D24" s="39"/>
      <c r="E24" s="39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38">
        <f>1.1*B9</f>
        <v>0.5722635768250607</v>
      </c>
      <c r="B25" s="38">
        <f t="shared" si="0"/>
        <v>3.3069</v>
      </c>
      <c r="D25" s="39"/>
      <c r="E25" s="39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38">
        <f>1.2*B9</f>
        <v>0.6242875383546116</v>
      </c>
      <c r="B26" s="38">
        <f t="shared" si="0"/>
        <v>3.2976</v>
      </c>
      <c r="D26" s="39"/>
      <c r="E26" s="39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38">
        <f>1.3*B9</f>
        <v>0.6763114998841626</v>
      </c>
      <c r="B27" s="38">
        <f t="shared" si="0"/>
        <v>3.2821</v>
      </c>
      <c r="D27" s="39"/>
      <c r="E27" s="39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38">
        <f>1.4*B9</f>
        <v>0.7283354614137135</v>
      </c>
      <c r="B28" s="38">
        <f t="shared" si="0"/>
        <v>3.2604</v>
      </c>
      <c r="D28" s="39"/>
      <c r="E28" s="39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38">
        <f>1.5*B9</f>
        <v>0.7803594229432644</v>
      </c>
      <c r="B29" s="38">
        <f t="shared" si="0"/>
        <v>3.2325</v>
      </c>
      <c r="D29" s="39"/>
      <c r="E29" s="39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38">
        <f>1.6*B9</f>
        <v>0.8323833844728155</v>
      </c>
      <c r="B30" s="38">
        <f t="shared" si="0"/>
        <v>3.1984</v>
      </c>
      <c r="D30" s="39"/>
      <c r="E30" s="39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38">
        <f>1.7*B9</f>
        <v>0.8844073460023664</v>
      </c>
      <c r="B31" s="38">
        <f t="shared" si="0"/>
        <v>3.1581</v>
      </c>
      <c r="D31" s="39"/>
      <c r="E31" s="39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38">
        <f>1.8*B9</f>
        <v>0.9364313075319174</v>
      </c>
      <c r="B32" s="38">
        <f t="shared" si="0"/>
        <v>3.1116</v>
      </c>
      <c r="C32" s="7"/>
      <c r="D32" s="60"/>
      <c r="E32" s="60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38">
        <f>1.9*B9</f>
        <v>0.9884552690614683</v>
      </c>
      <c r="B33" s="38">
        <f t="shared" si="0"/>
        <v>3.0589</v>
      </c>
      <c r="C33" s="7"/>
      <c r="D33" s="60"/>
      <c r="E33" s="60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38">
        <f>2*B9</f>
        <v>1.0404792305910193</v>
      </c>
      <c r="B34" s="38">
        <f t="shared" si="0"/>
        <v>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38">
        <f>2.2*B9</f>
        <v>1.1445271536501214</v>
      </c>
      <c r="B35" s="38">
        <f t="shared" si="0"/>
        <v>2.8636000000000004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38">
        <f>2.5*B9</f>
        <v>1.3005990382387742</v>
      </c>
      <c r="B36" s="38">
        <f t="shared" si="0"/>
        <v>2.6125000000000003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38">
        <f>3*$B$9</f>
        <v>1.5607188458865289</v>
      </c>
      <c r="B37" s="38">
        <f t="shared" si="0"/>
        <v>2.0700000000000003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38">
        <f>3.5*$B$9</f>
        <v>1.8208386535342838</v>
      </c>
      <c r="B38" s="38">
        <f t="shared" si="0"/>
        <v>1.3724999999999992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38">
        <f>4*$B$9</f>
        <v>2.0809584611820386</v>
      </c>
      <c r="B39" s="38">
        <f t="shared" si="0"/>
        <v>0.5199999999999996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38">
        <f>5*$B$9</f>
        <v>2.6011980764775484</v>
      </c>
      <c r="B40" s="38">
        <f t="shared" si="0"/>
        <v>-1.6500000000000012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38">
        <f>5.25*$B$9</f>
        <v>2.7312579803014256</v>
      </c>
      <c r="B41" s="38">
        <f t="shared" si="0"/>
        <v>-2.2893749999999997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38">
        <f>5.5*$B$9</f>
        <v>2.8613178841253033</v>
      </c>
      <c r="B42" s="38">
        <f t="shared" si="0"/>
        <v>-2.9675000000000002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38">
        <f>5.6*$B$9</f>
        <v>2.913341845654854</v>
      </c>
      <c r="B43" s="38">
        <f t="shared" si="0"/>
        <v>-3.249599999999999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3" ht="12.75">
      <c r="A53" s="7"/>
      <c r="B53" s="7"/>
      <c r="C53" s="7"/>
    </row>
  </sheetData>
  <printOptions/>
  <pageMargins left="1.3" right="0.75" top="1.07" bottom="1" header="0.59" footer="0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6"/>
  <sheetViews>
    <sheetView workbookViewId="0" topLeftCell="A1">
      <selection activeCell="F28" sqref="F28"/>
    </sheetView>
  </sheetViews>
  <sheetFormatPr defaultColWidth="11.421875" defaultRowHeight="12.75"/>
  <cols>
    <col min="1" max="1" width="27.7109375" style="0" customWidth="1"/>
    <col min="4" max="4" width="18.28125" style="0" customWidth="1"/>
  </cols>
  <sheetData>
    <row r="1" spans="1:8" s="7" customFormat="1" ht="15">
      <c r="A1" s="62" t="s">
        <v>46</v>
      </c>
      <c r="D1" s="67" t="s">
        <v>47</v>
      </c>
      <c r="F1" s="62"/>
      <c r="G1" s="62"/>
      <c r="H1" s="62"/>
    </row>
    <row r="2" spans="1:4" s="7" customFormat="1" ht="12.75">
      <c r="A2" s="20" t="s">
        <v>34</v>
      </c>
      <c r="D2" s="68" t="s">
        <v>42</v>
      </c>
    </row>
    <row r="3" s="7" customFormat="1" ht="12.75"/>
    <row r="4" spans="1:5" s="7" customFormat="1" ht="12.75">
      <c r="A4" s="22" t="s">
        <v>35</v>
      </c>
      <c r="B4" s="63">
        <v>0.02</v>
      </c>
      <c r="D4" s="22" t="s">
        <v>38</v>
      </c>
      <c r="E4" s="64">
        <f>B6*((2*9.81)^0.5)*B5*(B4^1.5)</f>
        <v>0.012684972408326327</v>
      </c>
    </row>
    <row r="5" spans="1:5" s="7" customFormat="1" ht="12.75">
      <c r="A5" s="22" t="s">
        <v>36</v>
      </c>
      <c r="B5" s="63">
        <v>2.5</v>
      </c>
      <c r="D5" s="22" t="s">
        <v>39</v>
      </c>
      <c r="E5" s="65">
        <f>E4*1000</f>
        <v>12.684972408326328</v>
      </c>
    </row>
    <row r="6" spans="1:5" s="7" customFormat="1" ht="12.75">
      <c r="A6" s="22" t="s">
        <v>37</v>
      </c>
      <c r="B6" s="63">
        <v>0.405</v>
      </c>
      <c r="D6" s="22" t="s">
        <v>40</v>
      </c>
      <c r="E6" s="65">
        <f>E5*60</f>
        <v>761.0983444995796</v>
      </c>
    </row>
    <row r="7" s="7" customFormat="1" ht="12.75"/>
    <row r="8" s="7" customFormat="1" ht="12.75"/>
    <row r="9" s="7" customFormat="1" ht="12.75"/>
    <row r="10" s="7" customFormat="1" ht="12.75"/>
    <row r="11" s="7" customFormat="1" ht="12.75"/>
    <row r="12" s="7" customFormat="1" ht="12.75"/>
    <row r="13" s="7" customFormat="1" ht="12.75"/>
    <row r="14" s="7" customFormat="1" ht="12.75"/>
    <row r="15" s="7" customFormat="1" ht="12.75"/>
    <row r="16" s="7" customFormat="1" ht="12.75"/>
    <row r="17" s="7" customFormat="1" ht="12.75"/>
    <row r="18" s="7" customFormat="1" ht="12.75"/>
    <row r="19" s="7" customFormat="1" ht="12.75"/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</sheetData>
  <printOptions/>
  <pageMargins left="0.75" right="0.75" top="1" bottom="1" header="0" footer="0"/>
  <pageSetup horizontalDpi="1200" verticalDpi="1200" orientation="portrait" paperSize="9" r:id="rId6"/>
  <drawing r:id="rId5"/>
  <legacyDrawing r:id="rId4"/>
  <oleObjects>
    <oleObject progId="PBrush" shapeId="68896" r:id="rId1"/>
    <oleObject progId="PBrush" shapeId="68898" r:id="rId2"/>
    <oleObject progId="PBrush" shapeId="688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2011-01-24T22:58:58Z</dcterms:created>
  <dcterms:modified xsi:type="dcterms:W3CDTF">2012-07-06T16:27:12Z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