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gonal\Downloads\"/>
    </mc:Choice>
  </mc:AlternateContent>
  <bookViews>
    <workbookView xWindow="0" yWindow="0" windowWidth="28800" windowHeight="12435"/>
  </bookViews>
  <sheets>
    <sheet name="Calados" sheetId="5" r:id="rId1"/>
    <sheet name="Hoja1" sheetId="7" r:id="rId2"/>
    <sheet name="Tablas 1" sheetId="6" r:id="rId3"/>
    <sheet name="Calculos" sheetId="4" r:id="rId4"/>
  </sheets>
  <calcPr calcId="152511" iterate="1"/>
</workbook>
</file>

<file path=xl/calcChain.xml><?xml version="1.0" encoding="utf-8"?>
<calcChain xmlns="http://schemas.openxmlformats.org/spreadsheetml/2006/main">
  <c r="C5" i="7" l="1"/>
  <c r="Q19" i="5" l="1"/>
  <c r="Q18" i="5"/>
  <c r="Q17" i="5"/>
  <c r="O19" i="5"/>
  <c r="O18" i="5"/>
  <c r="O17" i="5"/>
  <c r="Q16" i="5"/>
  <c r="O16" i="5"/>
  <c r="Q15" i="5"/>
  <c r="O15" i="5"/>
  <c r="Q14" i="5"/>
  <c r="O14" i="5"/>
  <c r="C18" i="5" l="1"/>
  <c r="C15" i="5"/>
  <c r="C17" i="5"/>
  <c r="C14" i="5"/>
  <c r="C16" i="5"/>
  <c r="C19" i="5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" i="6"/>
  <c r="B5" i="6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E24" i="5" l="1"/>
  <c r="K17" i="5"/>
  <c r="K11" i="5"/>
  <c r="K13" i="5" s="1"/>
  <c r="K20" i="5" l="1"/>
  <c r="F57" i="4"/>
  <c r="C56" i="4"/>
  <c r="D56" i="4" s="1"/>
  <c r="S46" i="4"/>
  <c r="T46" i="4" s="1"/>
  <c r="U46" i="4" s="1"/>
  <c r="G46" i="4"/>
  <c r="H46" i="4" s="1"/>
  <c r="I46" i="4" s="1"/>
  <c r="U40" i="4"/>
  <c r="V40" i="4" s="1"/>
  <c r="W40" i="4" s="1"/>
  <c r="O40" i="4"/>
  <c r="P40" i="4" s="1"/>
  <c r="Q40" i="4" s="1"/>
  <c r="I40" i="4"/>
  <c r="J40" i="4" s="1"/>
  <c r="K40" i="4" s="1"/>
  <c r="C40" i="4"/>
  <c r="D40" i="4" s="1"/>
  <c r="E40" i="4" s="1"/>
  <c r="U38" i="4"/>
  <c r="V38" i="4" s="1"/>
  <c r="W38" i="4" s="1"/>
  <c r="O38" i="4"/>
  <c r="P38" i="4" s="1"/>
  <c r="Q38" i="4" s="1"/>
  <c r="I38" i="4"/>
  <c r="J38" i="4" s="1"/>
  <c r="K38" i="4" s="1"/>
  <c r="C38" i="4"/>
  <c r="D38" i="4" s="1"/>
  <c r="E38" i="4" s="1"/>
  <c r="U36" i="4"/>
  <c r="V36" i="4" s="1"/>
  <c r="W36" i="4" s="1"/>
  <c r="O36" i="4"/>
  <c r="P36" i="4" s="1"/>
  <c r="Q36" i="4" s="1"/>
  <c r="I36" i="4"/>
  <c r="J36" i="4" s="1"/>
  <c r="K36" i="4" s="1"/>
  <c r="C36" i="4"/>
  <c r="D36" i="4" s="1"/>
  <c r="E36" i="4" s="1"/>
  <c r="U34" i="4"/>
  <c r="V34" i="4" s="1"/>
  <c r="W34" i="4" s="1"/>
  <c r="O34" i="4"/>
  <c r="P34" i="4" s="1"/>
  <c r="Q34" i="4" s="1"/>
  <c r="I34" i="4"/>
  <c r="J34" i="4" s="1"/>
  <c r="K34" i="4" s="1"/>
  <c r="C34" i="4"/>
  <c r="D34" i="4" s="1"/>
  <c r="E34" i="4" s="1"/>
  <c r="U32" i="4"/>
  <c r="V32" i="4" s="1"/>
  <c r="W32" i="4" s="1"/>
  <c r="O32" i="4"/>
  <c r="P32" i="4" s="1"/>
  <c r="Q32" i="4" s="1"/>
  <c r="I32" i="4"/>
  <c r="J32" i="4" s="1"/>
  <c r="K32" i="4" s="1"/>
  <c r="C32" i="4"/>
  <c r="D32" i="4" s="1"/>
  <c r="E32" i="4" s="1"/>
  <c r="V30" i="4"/>
  <c r="W30" i="4" s="1"/>
  <c r="U30" i="4"/>
  <c r="O30" i="4"/>
  <c r="P30" i="4" s="1"/>
  <c r="Q30" i="4" s="1"/>
  <c r="I30" i="4"/>
  <c r="J30" i="4" s="1"/>
  <c r="K30" i="4" s="1"/>
  <c r="C30" i="4"/>
  <c r="D30" i="4" s="1"/>
  <c r="E30" i="4" s="1"/>
  <c r="U23" i="4"/>
  <c r="V23" i="4" s="1"/>
  <c r="O23" i="4"/>
  <c r="P23" i="4" s="1"/>
  <c r="I23" i="4"/>
  <c r="J23" i="4" s="1"/>
  <c r="C23" i="4"/>
  <c r="D23" i="4" s="1"/>
  <c r="W22" i="4"/>
  <c r="U22" i="4"/>
  <c r="Q22" i="4"/>
  <c r="O22" i="4"/>
  <c r="K22" i="4"/>
  <c r="I22" i="4"/>
  <c r="E22" i="4"/>
  <c r="C22" i="4"/>
  <c r="U20" i="4"/>
  <c r="V20" i="4" s="1"/>
  <c r="O20" i="4"/>
  <c r="P20" i="4" s="1"/>
  <c r="I20" i="4"/>
  <c r="J20" i="4" s="1"/>
  <c r="C20" i="4"/>
  <c r="D20" i="4" s="1"/>
  <c r="W19" i="4"/>
  <c r="U19" i="4"/>
  <c r="Q19" i="4"/>
  <c r="O19" i="4"/>
  <c r="K19" i="4"/>
  <c r="I19" i="4"/>
  <c r="E19" i="4"/>
  <c r="C19" i="4"/>
  <c r="U17" i="4"/>
  <c r="V17" i="4" s="1"/>
  <c r="O17" i="4"/>
  <c r="P17" i="4" s="1"/>
  <c r="I17" i="4"/>
  <c r="J17" i="4" s="1"/>
  <c r="C17" i="4"/>
  <c r="D17" i="4" s="1"/>
  <c r="W16" i="4"/>
  <c r="U16" i="4"/>
  <c r="Q16" i="4"/>
  <c r="O16" i="4"/>
  <c r="K16" i="4"/>
  <c r="I16" i="4"/>
  <c r="E16" i="4"/>
  <c r="C16" i="4"/>
  <c r="U14" i="4"/>
  <c r="V14" i="4" s="1"/>
  <c r="O14" i="4"/>
  <c r="P14" i="4" s="1"/>
  <c r="I14" i="4"/>
  <c r="J14" i="4" s="1"/>
  <c r="C14" i="4"/>
  <c r="D14" i="4" s="1"/>
  <c r="W13" i="4"/>
  <c r="U13" i="4"/>
  <c r="Q13" i="4"/>
  <c r="O13" i="4"/>
  <c r="K13" i="4"/>
  <c r="I13" i="4"/>
  <c r="E13" i="4"/>
  <c r="C13" i="4"/>
  <c r="U11" i="4"/>
  <c r="V11" i="4" s="1"/>
  <c r="O11" i="4"/>
  <c r="P11" i="4" s="1"/>
  <c r="I11" i="4"/>
  <c r="J11" i="4" s="1"/>
  <c r="C11" i="4"/>
  <c r="D11" i="4" s="1"/>
  <c r="W10" i="4"/>
  <c r="U10" i="4"/>
  <c r="Q10" i="4"/>
  <c r="O10" i="4"/>
  <c r="K10" i="4"/>
  <c r="I10" i="4"/>
  <c r="E10" i="4"/>
  <c r="C10" i="4"/>
  <c r="U8" i="4"/>
  <c r="V8" i="4" s="1"/>
  <c r="O8" i="4"/>
  <c r="P8" i="4" s="1"/>
  <c r="I8" i="4"/>
  <c r="J8" i="4" s="1"/>
  <c r="C8" i="4"/>
  <c r="D8" i="4" s="1"/>
  <c r="W7" i="4"/>
  <c r="U7" i="4"/>
  <c r="Q7" i="4"/>
  <c r="O7" i="4"/>
  <c r="K7" i="4"/>
  <c r="I7" i="4"/>
  <c r="E7" i="4"/>
  <c r="C7" i="4"/>
  <c r="U5" i="4"/>
  <c r="V5" i="4" s="1"/>
  <c r="V24" i="4" s="1"/>
  <c r="O5" i="4"/>
  <c r="P5" i="4" s="1"/>
  <c r="P24" i="4" s="1"/>
  <c r="R26" i="4" s="1"/>
  <c r="I5" i="4"/>
  <c r="J5" i="4" s="1"/>
  <c r="J24" i="4" s="1"/>
  <c r="C5" i="4"/>
  <c r="D5" i="4" s="1"/>
  <c r="D24" i="4" s="1"/>
  <c r="W4" i="4"/>
  <c r="U4" i="4"/>
  <c r="Q4" i="4"/>
  <c r="O4" i="4"/>
  <c r="K4" i="4"/>
  <c r="I4" i="4"/>
  <c r="E4" i="4"/>
  <c r="C4" i="4"/>
  <c r="K21" i="5" l="1"/>
  <c r="K27" i="5"/>
  <c r="K34" i="5" s="1"/>
  <c r="E36" i="5"/>
  <c r="E25" i="5"/>
  <c r="E35" i="5"/>
  <c r="E37" i="5" s="1"/>
  <c r="D37" i="5" s="1"/>
  <c r="K43" i="4"/>
  <c r="Q43" i="4"/>
  <c r="T49" i="4" s="1"/>
  <c r="T52" i="4" s="1"/>
  <c r="F26" i="4"/>
  <c r="C57" i="4" s="1"/>
  <c r="D57" i="4" s="1"/>
  <c r="E43" i="4"/>
  <c r="W43" i="4"/>
  <c r="E26" i="5" l="1"/>
  <c r="D26" i="5" s="1"/>
  <c r="E44" i="5"/>
  <c r="A76" i="4"/>
  <c r="A69" i="4"/>
  <c r="A68" i="4"/>
  <c r="B68" i="4" s="1"/>
  <c r="A75" i="4"/>
  <c r="B75" i="4" s="1"/>
  <c r="A77" i="4"/>
  <c r="A70" i="4"/>
  <c r="H49" i="4"/>
  <c r="H52" i="4" s="1"/>
  <c r="B69" i="4" l="1"/>
  <c r="B70" i="4" s="1"/>
  <c r="B71" i="4" s="1"/>
  <c r="E27" i="5" s="1"/>
  <c r="B76" i="4"/>
  <c r="B77" i="4" s="1"/>
  <c r="B78" i="4" s="1"/>
  <c r="E38" i="5" s="1"/>
  <c r="E28" i="5" l="1"/>
  <c r="E29" i="5" s="1"/>
  <c r="E68" i="4" s="1"/>
  <c r="E23" i="5"/>
  <c r="E42" i="5" s="1"/>
  <c r="E22" i="5"/>
  <c r="E30" i="5" s="1"/>
  <c r="E39" i="5"/>
  <c r="E40" i="5" s="1"/>
  <c r="D75" i="4" s="1"/>
  <c r="E33" i="5"/>
  <c r="E34" i="5"/>
  <c r="E75" i="4" l="1"/>
  <c r="D76" i="4"/>
  <c r="J25" i="5"/>
  <c r="D77" i="4"/>
  <c r="D70" i="4"/>
  <c r="D69" i="4"/>
  <c r="E45" i="5"/>
  <c r="D45" i="5" s="1"/>
  <c r="J24" i="5"/>
  <c r="K31" i="5"/>
  <c r="G69" i="4" s="1"/>
  <c r="D68" i="4"/>
  <c r="E31" i="5"/>
  <c r="E41" i="5"/>
  <c r="E76" i="4" l="1"/>
  <c r="E77" i="4" s="1"/>
  <c r="E78" i="4" s="1"/>
  <c r="K25" i="5" s="1"/>
  <c r="E69" i="4"/>
  <c r="E70" i="4" s="1"/>
  <c r="E71" i="4" s="1"/>
  <c r="K24" i="5" s="1"/>
  <c r="G70" i="4"/>
  <c r="H69" i="4" s="1"/>
  <c r="G68" i="4"/>
  <c r="H68" i="4" s="1"/>
  <c r="K26" i="5" l="1"/>
  <c r="K28" i="5" s="1"/>
  <c r="H70" i="4"/>
  <c r="H71" i="4" s="1"/>
  <c r="K32" i="5" s="1"/>
  <c r="K33" i="5" s="1"/>
  <c r="K35" i="5" s="1"/>
</calcChain>
</file>

<file path=xl/sharedStrings.xml><?xml version="1.0" encoding="utf-8"?>
<sst xmlns="http://schemas.openxmlformats.org/spreadsheetml/2006/main" count="248" uniqueCount="98">
  <si>
    <t>Densidad</t>
  </si>
  <si>
    <t>Tn</t>
  </si>
  <si>
    <t>Tn Fuel IFO 380</t>
  </si>
  <si>
    <t>Tn agua</t>
  </si>
  <si>
    <t>Tn Agua</t>
  </si>
  <si>
    <t>Tn total</t>
  </si>
  <si>
    <t>CT1P</t>
  </si>
  <si>
    <t>Numero de tanques a esta carga</t>
  </si>
  <si>
    <t>Sin proa</t>
  </si>
  <si>
    <t>xa dividir</t>
  </si>
  <si>
    <t>CT2P</t>
  </si>
  <si>
    <t>CT3P</t>
  </si>
  <si>
    <t>CT4P</t>
  </si>
  <si>
    <t>CT5P</t>
  </si>
  <si>
    <t>CT6P</t>
  </si>
  <si>
    <t>Slop-P</t>
  </si>
  <si>
    <t>CT1S</t>
  </si>
  <si>
    <t>CT2S</t>
  </si>
  <si>
    <t>CT3S</t>
  </si>
  <si>
    <t>CT4S</t>
  </si>
  <si>
    <t>CT5S</t>
  </si>
  <si>
    <t>CT6S</t>
  </si>
  <si>
    <t>Slop-S</t>
  </si>
  <si>
    <t>Pies</t>
  </si>
  <si>
    <t>Pulgadas</t>
  </si>
  <si>
    <t>Cpri</t>
  </si>
  <si>
    <t>Cpmi</t>
  </si>
  <si>
    <t>Cppi</t>
  </si>
  <si>
    <t>Cprf</t>
  </si>
  <si>
    <t>Cpmf</t>
  </si>
  <si>
    <t>Cppf</t>
  </si>
  <si>
    <t>Calados iniciales (m)</t>
  </si>
  <si>
    <t>Eslora</t>
  </si>
  <si>
    <t>Dist. F</t>
  </si>
  <si>
    <t>m</t>
  </si>
  <si>
    <t>Cpmc</t>
  </si>
  <si>
    <t>Asiento</t>
  </si>
  <si>
    <t>Correccion por A</t>
  </si>
  <si>
    <t>Cm</t>
  </si>
  <si>
    <t>dpp</t>
  </si>
  <si>
    <t>dpr</t>
  </si>
  <si>
    <t>App</t>
  </si>
  <si>
    <t>Apr</t>
  </si>
  <si>
    <t>Arrufo/Quebranto</t>
  </si>
  <si>
    <t>Desplazamiento inicial</t>
  </si>
  <si>
    <t>Combustible</t>
  </si>
  <si>
    <t>Aceite Lubricante</t>
  </si>
  <si>
    <t>Agua dulce</t>
  </si>
  <si>
    <t>Repuestos/Pertrechos</t>
  </si>
  <si>
    <t>Provisiones y víveres</t>
  </si>
  <si>
    <t>Pesos a bordo a la llegada</t>
  </si>
  <si>
    <t>Peso en Rosca</t>
  </si>
  <si>
    <t>Desplazamiento a la llegada</t>
  </si>
  <si>
    <t>Máxima carga a embarcar por pesos</t>
  </si>
  <si>
    <t>Δ máx de Verano</t>
  </si>
  <si>
    <t>Peso Muerto máximo de Verano</t>
  </si>
  <si>
    <t>Pesos a consumir/desembarcar</t>
  </si>
  <si>
    <t>Pesos a embarcar</t>
  </si>
  <si>
    <t>Pesos a bordo a la salida</t>
  </si>
  <si>
    <t>Carga Máx por Pesos</t>
  </si>
  <si>
    <t>Alteración</t>
  </si>
  <si>
    <t>V (m3)</t>
  </si>
  <si>
    <t>Δ (Tn)</t>
  </si>
  <si>
    <t>Tc (Tm/cm)</t>
  </si>
  <si>
    <t>KC (m)</t>
  </si>
  <si>
    <t>Cm (m)</t>
  </si>
  <si>
    <t>Dist F (m)</t>
  </si>
  <si>
    <t>Dist C (m)</t>
  </si>
  <si>
    <t>KM (m)</t>
  </si>
  <si>
    <t>CML (m)</t>
  </si>
  <si>
    <t>Mu (Tn.m/cm)</t>
  </si>
  <si>
    <t>Calculo Distancia F 1 i</t>
  </si>
  <si>
    <t>Calculo Distancia F 1 f</t>
  </si>
  <si>
    <t>Tripulación y efectos</t>
  </si>
  <si>
    <t>Conversiones a metros</t>
  </si>
  <si>
    <t>Entradas en solo una unidad o se sumarán</t>
  </si>
  <si>
    <t>Desplazamiento por calados</t>
  </si>
  <si>
    <t>Desplazamiento final</t>
  </si>
  <si>
    <r>
      <rPr>
        <sz val="11"/>
        <color theme="1"/>
        <rFont val="Calibri"/>
        <family val="2"/>
      </rPr>
      <t xml:space="preserve">Δ </t>
    </r>
    <r>
      <rPr>
        <sz val="11"/>
        <color theme="1"/>
        <rFont val="Calibri"/>
        <family val="2"/>
        <scheme val="minor"/>
      </rPr>
      <t>para Cm inicial</t>
    </r>
  </si>
  <si>
    <r>
      <rPr>
        <sz val="11"/>
        <color theme="1"/>
        <rFont val="Calibri"/>
        <family val="2"/>
      </rPr>
      <t xml:space="preserve">Δ </t>
    </r>
    <r>
      <rPr>
        <sz val="11"/>
        <color theme="1"/>
        <rFont val="Calibri"/>
        <family val="2"/>
        <scheme val="minor"/>
      </rPr>
      <t>para Cm final</t>
    </r>
  </si>
  <si>
    <t>Diferencia pesos entre inicial y final</t>
  </si>
  <si>
    <t>Diferencia de pesos en puerto</t>
  </si>
  <si>
    <t>CARGA EMBARCADA</t>
  </si>
  <si>
    <t>INICIAL</t>
  </si>
  <si>
    <t>FINAL</t>
  </si>
  <si>
    <t>Calados (pies)</t>
  </si>
  <si>
    <t>I/E</t>
  </si>
  <si>
    <t>Comprobación por Tn por cm</t>
  </si>
  <si>
    <t>Cm promedio</t>
  </si>
  <si>
    <t>Tn cm calculo desplazamiento</t>
  </si>
  <si>
    <t>Tn/Cm del Cm promedio</t>
  </si>
  <si>
    <t>Diferencia de Desplazamiento</t>
  </si>
  <si>
    <t>CARGA EMBARCADA por Tn/Cm</t>
  </si>
  <si>
    <t>Calados para cálculos (m)</t>
  </si>
  <si>
    <t>Corrección por densidad</t>
  </si>
  <si>
    <t>Densidad:</t>
  </si>
  <si>
    <t>Permiso Agua Dulce</t>
  </si>
  <si>
    <t>Calado de verano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</si>
</sst>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4C4C4C"/>
      <name val="Verdana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2" fontId="0" fillId="0" borderId="0" xfId="0" applyNumberFormat="1"/>
    <xf numFmtId="4" fontId="0" fillId="2" borderId="0" xfId="0" applyNumberFormat="1" applyFill="1"/>
    <xf numFmtId="4" fontId="0" fillId="3" borderId="0" xfId="0" applyNumberFormat="1" applyFill="1"/>
    <xf numFmtId="0" fontId="0" fillId="3" borderId="0" xfId="0" applyFill="1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/>
    <xf numFmtId="2" fontId="0" fillId="0" borderId="0" xfId="0" applyNumberFormat="1" applyAlignmen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165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/>
    <xf numFmtId="2" fontId="0" fillId="4" borderId="7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1" fontId="0" fillId="4" borderId="11" xfId="0" applyNumberFormat="1" applyFill="1" applyBorder="1" applyAlignment="1" applyProtection="1">
      <alignment horizontal="center"/>
      <protection locked="0"/>
    </xf>
    <xf numFmtId="1" fontId="0" fillId="4" borderId="18" xfId="0" applyNumberFormat="1" applyFill="1" applyBorder="1" applyAlignment="1" applyProtection="1">
      <alignment horizontal="center"/>
      <protection locked="0"/>
    </xf>
    <xf numFmtId="1" fontId="0" fillId="4" borderId="14" xfId="0" applyNumberFormat="1" applyFill="1" applyBorder="1" applyAlignment="1" applyProtection="1">
      <alignment horizontal="center"/>
      <protection locked="0"/>
    </xf>
    <xf numFmtId="1" fontId="0" fillId="4" borderId="20" xfId="0" applyNumberFormat="1" applyFill="1" applyBorder="1" applyAlignment="1" applyProtection="1">
      <alignment horizontal="center"/>
      <protection locked="0"/>
    </xf>
    <xf numFmtId="1" fontId="0" fillId="4" borderId="19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0" fillId="6" borderId="7" xfId="0" applyNumberFormat="1" applyFill="1" applyBorder="1" applyAlignment="1" applyProtection="1">
      <alignment horizontal="center"/>
      <protection locked="0"/>
    </xf>
    <xf numFmtId="2" fontId="0" fillId="6" borderId="15" xfId="0" applyNumberFormat="1" applyFill="1" applyBorder="1" applyAlignment="1" applyProtection="1">
      <alignment horizontal="center"/>
      <protection locked="0"/>
    </xf>
    <xf numFmtId="1" fontId="0" fillId="6" borderId="11" xfId="0" applyNumberFormat="1" applyFill="1" applyBorder="1" applyAlignment="1" applyProtection="1">
      <alignment horizontal="center"/>
      <protection locked="0"/>
    </xf>
    <xf numFmtId="1" fontId="0" fillId="6" borderId="18" xfId="0" applyNumberFormat="1" applyFill="1" applyBorder="1" applyAlignment="1" applyProtection="1">
      <alignment horizontal="center"/>
      <protection locked="0"/>
    </xf>
    <xf numFmtId="1" fontId="0" fillId="6" borderId="14" xfId="0" applyNumberFormat="1" applyFill="1" applyBorder="1" applyAlignment="1" applyProtection="1">
      <alignment horizontal="center"/>
      <protection locked="0"/>
    </xf>
    <xf numFmtId="1" fontId="0" fillId="6" borderId="20" xfId="0" applyNumberFormat="1" applyFill="1" applyBorder="1" applyAlignment="1" applyProtection="1">
      <alignment horizontal="center"/>
      <protection locked="0"/>
    </xf>
    <xf numFmtId="1" fontId="0" fillId="6" borderId="19" xfId="0" applyNumberFormat="1" applyFill="1" applyBorder="1" applyAlignment="1" applyProtection="1">
      <alignment horizontal="center"/>
      <protection locked="0"/>
    </xf>
    <xf numFmtId="1" fontId="0" fillId="6" borderId="17" xfId="0" applyNumberFormat="1" applyFill="1" applyBorder="1" applyAlignment="1" applyProtection="1">
      <alignment horizontal="center"/>
      <protection locked="0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/>
    <xf numFmtId="2" fontId="0" fillId="5" borderId="1" xfId="0" applyNumberFormat="1" applyFill="1" applyBorder="1" applyAlignment="1"/>
    <xf numFmtId="4" fontId="0" fillId="8" borderId="1" xfId="0" applyNumberFormat="1" applyFill="1" applyBorder="1" applyAlignment="1">
      <alignment horizontal="right"/>
    </xf>
    <xf numFmtId="0" fontId="0" fillId="8" borderId="1" xfId="0" applyFill="1" applyBorder="1"/>
    <xf numFmtId="2" fontId="0" fillId="8" borderId="1" xfId="0" applyNumberFormat="1" applyFill="1" applyBorder="1" applyAlignment="1"/>
    <xf numFmtId="0" fontId="0" fillId="7" borderId="1" xfId="0" applyFill="1" applyBorder="1"/>
    <xf numFmtId="4" fontId="0" fillId="4" borderId="1" xfId="0" applyNumberFormat="1" applyFill="1" applyBorder="1" applyAlignment="1">
      <alignment horizontal="right"/>
    </xf>
    <xf numFmtId="164" fontId="0" fillId="5" borderId="1" xfId="0" applyNumberFormat="1" applyFill="1" applyBorder="1"/>
    <xf numFmtId="2" fontId="0" fillId="5" borderId="1" xfId="0" applyNumberFormat="1" applyFill="1" applyBorder="1"/>
    <xf numFmtId="4" fontId="0" fillId="5" borderId="1" xfId="0" applyNumberFormat="1" applyFill="1" applyBorder="1"/>
    <xf numFmtId="2" fontId="1" fillId="5" borderId="1" xfId="0" applyNumberFormat="1" applyFont="1" applyFill="1" applyBorder="1"/>
    <xf numFmtId="2" fontId="0" fillId="5" borderId="1" xfId="0" applyNumberFormat="1" applyFill="1" applyBorder="1" applyAlignment="1">
      <alignment horizontal="right"/>
    </xf>
    <xf numFmtId="2" fontId="0" fillId="7" borderId="1" xfId="0" applyNumberFormat="1" applyFill="1" applyBorder="1" applyAlignment="1"/>
    <xf numFmtId="2" fontId="0" fillId="7" borderId="1" xfId="0" applyNumberFormat="1" applyFill="1" applyBorder="1"/>
    <xf numFmtId="164" fontId="0" fillId="7" borderId="1" xfId="0" applyNumberFormat="1" applyFill="1" applyBorder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 vertical="center" textRotation="255"/>
    </xf>
    <xf numFmtId="0" fontId="0" fillId="7" borderId="1" xfId="0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2" fontId="0" fillId="5" borderId="16" xfId="0" applyNumberFormat="1" applyFill="1" applyBorder="1" applyAlignment="1">
      <alignment horizontal="center"/>
    </xf>
    <xf numFmtId="2" fontId="0" fillId="5" borderId="17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0" borderId="0" xfId="0" applyAlignment="1">
      <alignment horizontal="left"/>
    </xf>
    <xf numFmtId="2" fontId="0" fillId="7" borderId="13" xfId="0" applyNumberFormat="1" applyFill="1" applyBorder="1" applyAlignment="1">
      <alignment horizontal="center"/>
    </xf>
    <xf numFmtId="2" fontId="0" fillId="7" borderId="14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2" fontId="0" fillId="7" borderId="16" xfId="0" applyNumberFormat="1" applyFill="1" applyBorder="1" applyAlignment="1">
      <alignment horizontal="center"/>
    </xf>
    <xf numFmtId="2" fontId="0" fillId="7" borderId="17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5" borderId="13" xfId="0" applyNumberFormat="1" applyFill="1" applyBorder="1" applyAlignment="1">
      <alignment horizontal="center"/>
    </xf>
    <xf numFmtId="2" fontId="0" fillId="5" borderId="14" xfId="0" applyNumberFormat="1" applyFill="1" applyBorder="1" applyAlignment="1">
      <alignment horizontal="center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6" borderId="16" xfId="0" applyNumberFormat="1" applyFill="1" applyBorder="1" applyAlignment="1" applyProtection="1">
      <alignment horizontal="center"/>
      <protection locked="0"/>
    </xf>
    <xf numFmtId="2" fontId="0" fillId="6" borderId="19" xfId="0" applyNumberFormat="1" applyFill="1" applyBorder="1" applyAlignment="1" applyProtection="1">
      <alignment horizontal="center"/>
      <protection locked="0"/>
    </xf>
    <xf numFmtId="2" fontId="0" fillId="6" borderId="17" xfId="0" applyNumberFormat="1" applyFill="1" applyBorder="1" applyAlignment="1" applyProtection="1">
      <alignment horizontal="center"/>
      <protection locked="0"/>
    </xf>
    <xf numFmtId="2" fontId="0" fillId="0" borderId="0" xfId="0" applyNumberFormat="1" applyBorder="1" applyAlignment="1">
      <alignment horizontal="center"/>
    </xf>
    <xf numFmtId="0" fontId="0" fillId="7" borderId="6" xfId="0" applyFont="1" applyFill="1" applyBorder="1" applyAlignment="1">
      <alignment horizontal="center" vertical="center" textRotation="180"/>
    </xf>
    <xf numFmtId="0" fontId="0" fillId="7" borderId="12" xfId="0" applyFont="1" applyFill="1" applyBorder="1" applyAlignment="1">
      <alignment horizontal="center" vertical="center" textRotation="180"/>
    </xf>
    <xf numFmtId="0" fontId="0" fillId="7" borderId="10" xfId="0" applyFont="1" applyFill="1" applyBorder="1" applyAlignment="1">
      <alignment horizontal="center" vertical="center" textRotation="180"/>
    </xf>
    <xf numFmtId="0" fontId="0" fillId="5" borderId="6" xfId="0" applyFont="1" applyFill="1" applyBorder="1" applyAlignment="1">
      <alignment horizontal="center" vertical="center" textRotation="180"/>
    </xf>
    <xf numFmtId="0" fontId="0" fillId="5" borderId="12" xfId="0" applyFont="1" applyFill="1" applyBorder="1" applyAlignment="1">
      <alignment horizontal="center" vertical="center" textRotation="180"/>
    </xf>
    <xf numFmtId="0" fontId="0" fillId="5" borderId="10" xfId="0" applyFont="1" applyFill="1" applyBorder="1" applyAlignment="1">
      <alignment horizontal="center" vertical="center" textRotation="180"/>
    </xf>
    <xf numFmtId="0" fontId="0" fillId="7" borderId="6" xfId="0" applyFont="1" applyFill="1" applyBorder="1" applyAlignment="1">
      <alignment horizontal="center" vertical="center" textRotation="90"/>
    </xf>
    <xf numFmtId="0" fontId="0" fillId="7" borderId="12" xfId="0" applyFont="1" applyFill="1" applyBorder="1" applyAlignment="1">
      <alignment horizontal="center" vertical="center" textRotation="90"/>
    </xf>
    <xf numFmtId="0" fontId="0" fillId="7" borderId="10" xfId="0" applyFont="1" applyFill="1" applyBorder="1" applyAlignment="1">
      <alignment horizontal="center" vertical="center" textRotation="90"/>
    </xf>
    <xf numFmtId="0" fontId="0" fillId="5" borderId="6" xfId="0" applyFont="1" applyFill="1" applyBorder="1" applyAlignment="1">
      <alignment horizontal="center" vertical="center" textRotation="90"/>
    </xf>
    <xf numFmtId="0" fontId="0" fillId="5" borderId="12" xfId="0" applyFont="1" applyFill="1" applyBorder="1" applyAlignment="1">
      <alignment horizontal="center" vertical="center" textRotation="90"/>
    </xf>
    <xf numFmtId="0" fontId="0" fillId="5" borderId="10" xfId="0" applyFont="1" applyFill="1" applyBorder="1" applyAlignment="1">
      <alignment horizontal="center" vertical="center" textRotation="90"/>
    </xf>
    <xf numFmtId="0" fontId="0" fillId="7" borderId="1" xfId="0" applyFill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472109</xdr:colOff>
      <xdr:row>41</xdr:row>
      <xdr:rowOff>165651</xdr:rowOff>
    </xdr:from>
    <xdr:to>
      <xdr:col>11</xdr:col>
      <xdr:colOff>171450</xdr:colOff>
      <xdr:row>43</xdr:row>
      <xdr:rowOff>173934</xdr:rowOff>
    </xdr:to>
    <xdr:pic>
      <xdr:nvPicPr>
        <xdr:cNvPr id="2" name="Imagen 1" descr="by-nc-sa.eu_peti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0152" y="8150086"/>
          <a:ext cx="1123950" cy="38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135834</xdr:colOff>
      <xdr:row>42</xdr:row>
      <xdr:rowOff>3312</xdr:rowOff>
    </xdr:from>
    <xdr:to>
      <xdr:col>19</xdr:col>
      <xdr:colOff>166480</xdr:colOff>
      <xdr:row>44</xdr:row>
      <xdr:rowOff>11595</xdr:rowOff>
    </xdr:to>
    <xdr:pic>
      <xdr:nvPicPr>
        <xdr:cNvPr id="3" name="Imagen 2" descr="by-nc-sa.eu_peti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5291" y="8178247"/>
          <a:ext cx="1123950" cy="38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view="pageBreakPreview" topLeftCell="A22" zoomScale="115" zoomScaleNormal="100" zoomScaleSheetLayoutView="115" workbookViewId="0">
      <selection activeCell="L40" sqref="L40"/>
    </sheetView>
  </sheetViews>
  <sheetFormatPr baseColWidth="10" defaultRowHeight="15" x14ac:dyDescent="0.25"/>
  <cols>
    <col min="1" max="1" width="5.7109375" customWidth="1"/>
    <col min="2" max="5" width="10.7109375" customWidth="1"/>
    <col min="6" max="6" width="2.7109375" bestFit="1" customWidth="1"/>
    <col min="7" max="7" width="5.7109375" customWidth="1"/>
    <col min="8" max="11" width="10.7109375" customWidth="1"/>
    <col min="12" max="12" width="2.85546875" customWidth="1"/>
    <col min="13" max="13" width="5.7109375" customWidth="1"/>
    <col min="14" max="14" width="10.7109375" customWidth="1"/>
    <col min="15" max="18" width="5.7109375" customWidth="1"/>
    <col min="19" max="19" width="10.7109375" customWidth="1"/>
    <col min="20" max="20" width="5.7109375" customWidth="1"/>
  </cols>
  <sheetData>
    <row r="1" spans="1:21" x14ac:dyDescent="0.25">
      <c r="H1" s="70"/>
      <c r="I1" s="70"/>
      <c r="J1" s="70"/>
      <c r="K1" s="70"/>
    </row>
    <row r="2" spans="1:21" x14ac:dyDescent="0.25">
      <c r="B2" s="70" t="s">
        <v>32</v>
      </c>
      <c r="C2" s="70"/>
      <c r="D2">
        <v>110</v>
      </c>
      <c r="E2" t="s">
        <v>34</v>
      </c>
      <c r="H2" s="22" t="s">
        <v>75</v>
      </c>
      <c r="I2" s="22"/>
      <c r="J2" s="22"/>
      <c r="K2" s="22"/>
      <c r="L2" s="22"/>
      <c r="M2" s="22"/>
      <c r="N2" s="22"/>
      <c r="O2" s="22"/>
    </row>
    <row r="4" spans="1:21" ht="15.75" thickBot="1" x14ac:dyDescent="0.3">
      <c r="B4" s="77" t="s">
        <v>31</v>
      </c>
      <c r="C4" s="78"/>
      <c r="D4" s="78"/>
      <c r="E4" s="77"/>
      <c r="F4" s="9"/>
      <c r="G4" s="9"/>
      <c r="H4" s="67" t="s">
        <v>44</v>
      </c>
      <c r="I4" s="67"/>
      <c r="J4" s="67"/>
      <c r="K4" s="67"/>
      <c r="L4" s="67"/>
      <c r="M4" s="19"/>
      <c r="N4" s="81" t="s">
        <v>85</v>
      </c>
      <c r="O4" s="82"/>
      <c r="P4" s="82"/>
      <c r="Q4" s="82"/>
      <c r="R4" s="82"/>
      <c r="S4" s="83"/>
      <c r="T4" s="21"/>
      <c r="U4" s="21"/>
    </row>
    <row r="5" spans="1:21" ht="15.75" thickBot="1" x14ac:dyDescent="0.3">
      <c r="A5" s="99" t="s">
        <v>83</v>
      </c>
      <c r="B5" s="39" t="s">
        <v>25</v>
      </c>
      <c r="C5" s="23"/>
      <c r="D5" s="23"/>
      <c r="E5" s="40" t="s">
        <v>25</v>
      </c>
      <c r="F5" s="9"/>
      <c r="G5" s="9"/>
      <c r="H5" s="68" t="s">
        <v>45</v>
      </c>
      <c r="I5" s="68"/>
      <c r="J5" s="68"/>
      <c r="K5" s="52">
        <v>128</v>
      </c>
      <c r="L5" s="49" t="s">
        <v>1</v>
      </c>
      <c r="N5" s="39" t="s">
        <v>25</v>
      </c>
      <c r="O5" s="25">
        <v>7</v>
      </c>
      <c r="P5" s="26">
        <v>9</v>
      </c>
      <c r="Q5" s="25">
        <v>7</v>
      </c>
      <c r="R5" s="27">
        <v>5</v>
      </c>
      <c r="S5" s="40" t="s">
        <v>25</v>
      </c>
      <c r="T5" s="93" t="s">
        <v>83</v>
      </c>
    </row>
    <row r="6" spans="1:21" ht="15.75" thickBot="1" x14ac:dyDescent="0.3">
      <c r="A6" s="100"/>
      <c r="B6" s="39" t="s">
        <v>26</v>
      </c>
      <c r="C6" s="23"/>
      <c r="D6" s="23"/>
      <c r="E6" s="40" t="s">
        <v>26</v>
      </c>
      <c r="F6" s="9"/>
      <c r="G6" s="9"/>
      <c r="H6" s="68" t="s">
        <v>46</v>
      </c>
      <c r="I6" s="68"/>
      <c r="J6" s="68"/>
      <c r="K6" s="52">
        <v>18.5</v>
      </c>
      <c r="L6" s="49" t="s">
        <v>1</v>
      </c>
      <c r="N6" s="39" t="s">
        <v>26</v>
      </c>
      <c r="O6" s="25">
        <v>9</v>
      </c>
      <c r="P6" s="26">
        <v>7</v>
      </c>
      <c r="Q6" s="25">
        <v>9</v>
      </c>
      <c r="R6" s="27">
        <v>2</v>
      </c>
      <c r="S6" s="40" t="s">
        <v>26</v>
      </c>
      <c r="T6" s="94"/>
    </row>
    <row r="7" spans="1:21" ht="15.75" thickBot="1" x14ac:dyDescent="0.3">
      <c r="A7" s="101"/>
      <c r="B7" s="39" t="s">
        <v>27</v>
      </c>
      <c r="C7" s="24"/>
      <c r="D7" s="24"/>
      <c r="E7" s="40" t="s">
        <v>27</v>
      </c>
      <c r="F7" s="9"/>
      <c r="G7" s="9"/>
      <c r="H7" s="68" t="s">
        <v>47</v>
      </c>
      <c r="I7" s="68"/>
      <c r="J7" s="68"/>
      <c r="K7" s="52">
        <v>122</v>
      </c>
      <c r="L7" s="49" t="s">
        <v>1</v>
      </c>
      <c r="N7" s="39" t="s">
        <v>27</v>
      </c>
      <c r="O7" s="28">
        <v>10</v>
      </c>
      <c r="P7" s="29">
        <v>5</v>
      </c>
      <c r="Q7" s="28">
        <v>10</v>
      </c>
      <c r="R7" s="30">
        <v>0</v>
      </c>
      <c r="S7" s="40" t="s">
        <v>27</v>
      </c>
      <c r="T7" s="95"/>
    </row>
    <row r="8" spans="1:21" ht="15.75" thickBot="1" x14ac:dyDescent="0.3">
      <c r="A8" s="102" t="s">
        <v>84</v>
      </c>
      <c r="B8" s="41" t="s">
        <v>28</v>
      </c>
      <c r="C8" s="31"/>
      <c r="D8" s="31"/>
      <c r="E8" s="42" t="s">
        <v>28</v>
      </c>
      <c r="F8" s="9"/>
      <c r="G8" s="9"/>
      <c r="H8" s="68" t="s">
        <v>48</v>
      </c>
      <c r="I8" s="68"/>
      <c r="J8" s="68"/>
      <c r="K8" s="52">
        <v>18</v>
      </c>
      <c r="L8" s="49" t="s">
        <v>1</v>
      </c>
      <c r="N8" s="44" t="s">
        <v>28</v>
      </c>
      <c r="O8" s="33">
        <v>18</v>
      </c>
      <c r="P8" s="34">
        <v>2</v>
      </c>
      <c r="Q8" s="33">
        <v>18</v>
      </c>
      <c r="R8" s="35">
        <v>4</v>
      </c>
      <c r="S8" s="44" t="s">
        <v>28</v>
      </c>
      <c r="T8" s="96" t="s">
        <v>84</v>
      </c>
    </row>
    <row r="9" spans="1:21" ht="15.75" thickBot="1" x14ac:dyDescent="0.3">
      <c r="A9" s="103"/>
      <c r="B9" s="41" t="s">
        <v>29</v>
      </c>
      <c r="C9" s="31"/>
      <c r="D9" s="31"/>
      <c r="E9" s="42" t="s">
        <v>29</v>
      </c>
      <c r="F9" s="9"/>
      <c r="G9" s="9"/>
      <c r="H9" s="68" t="s">
        <v>49</v>
      </c>
      <c r="I9" s="68"/>
      <c r="J9" s="68"/>
      <c r="K9" s="52">
        <v>12.5</v>
      </c>
      <c r="L9" s="49" t="s">
        <v>1</v>
      </c>
      <c r="N9" s="44" t="s">
        <v>29</v>
      </c>
      <c r="O9" s="33">
        <v>18</v>
      </c>
      <c r="P9" s="34">
        <v>8</v>
      </c>
      <c r="Q9" s="33">
        <v>19</v>
      </c>
      <c r="R9" s="35">
        <v>2</v>
      </c>
      <c r="S9" s="44" t="s">
        <v>29</v>
      </c>
      <c r="T9" s="97"/>
    </row>
    <row r="10" spans="1:21" ht="15.75" thickBot="1" x14ac:dyDescent="0.3">
      <c r="A10" s="104"/>
      <c r="B10" s="41" t="s">
        <v>30</v>
      </c>
      <c r="C10" s="32"/>
      <c r="D10" s="32"/>
      <c r="E10" s="42" t="s">
        <v>30</v>
      </c>
      <c r="F10" s="9"/>
      <c r="G10" s="9"/>
      <c r="H10" s="68" t="s">
        <v>73</v>
      </c>
      <c r="I10" s="68"/>
      <c r="J10" s="68"/>
      <c r="K10" s="52">
        <v>5</v>
      </c>
      <c r="L10" s="49" t="s">
        <v>1</v>
      </c>
      <c r="N10" s="44" t="s">
        <v>30</v>
      </c>
      <c r="O10" s="36">
        <v>19</v>
      </c>
      <c r="P10" s="37">
        <v>8</v>
      </c>
      <c r="Q10" s="36">
        <v>20</v>
      </c>
      <c r="R10" s="38">
        <v>0</v>
      </c>
      <c r="S10" s="44" t="s">
        <v>30</v>
      </c>
      <c r="T10" s="98"/>
    </row>
    <row r="11" spans="1:21" x14ac:dyDescent="0.25">
      <c r="B11" s="9"/>
      <c r="C11" s="20"/>
      <c r="D11" s="20"/>
      <c r="E11" s="9"/>
      <c r="F11" s="9"/>
      <c r="G11" s="9"/>
      <c r="H11" s="68" t="s">
        <v>50</v>
      </c>
      <c r="I11" s="68"/>
      <c r="J11" s="68"/>
      <c r="K11" s="48">
        <f>SUM(K5:K10)</f>
        <v>304</v>
      </c>
      <c r="L11" s="49" t="s">
        <v>1</v>
      </c>
    </row>
    <row r="12" spans="1:21" x14ac:dyDescent="0.25">
      <c r="H12" s="68" t="s">
        <v>51</v>
      </c>
      <c r="I12" s="68"/>
      <c r="J12" s="68"/>
      <c r="K12" s="48">
        <v>3050</v>
      </c>
      <c r="L12" s="49" t="s">
        <v>1</v>
      </c>
      <c r="N12" s="71"/>
      <c r="O12" s="71"/>
      <c r="P12" s="71"/>
      <c r="Q12" s="71"/>
      <c r="R12" s="71"/>
      <c r="S12" s="71"/>
    </row>
    <row r="13" spans="1:21" ht="15.75" thickBot="1" x14ac:dyDescent="0.3">
      <c r="B13" s="72" t="s">
        <v>93</v>
      </c>
      <c r="C13" s="73"/>
      <c r="D13" s="73"/>
      <c r="E13" s="72"/>
      <c r="F13" s="9"/>
      <c r="G13" s="9"/>
      <c r="H13" s="68" t="s">
        <v>52</v>
      </c>
      <c r="I13" s="68"/>
      <c r="J13" s="68"/>
      <c r="K13" s="48">
        <f>SUM(K11:K12)</f>
        <v>3354</v>
      </c>
      <c r="L13" s="50" t="s">
        <v>1</v>
      </c>
      <c r="M13" s="11"/>
      <c r="N13" s="72" t="s">
        <v>31</v>
      </c>
      <c r="O13" s="73"/>
      <c r="P13" s="73"/>
      <c r="Q13" s="73"/>
      <c r="R13" s="73"/>
      <c r="S13" s="72"/>
    </row>
    <row r="14" spans="1:21" ht="15.75" thickBot="1" x14ac:dyDescent="0.3">
      <c r="A14" s="99" t="s">
        <v>83</v>
      </c>
      <c r="B14" s="39" t="s">
        <v>25</v>
      </c>
      <c r="C14" s="75">
        <f t="shared" ref="C14:C19" si="0">((C5+D5)/2)+((O14+Q14)/2)+O24</f>
        <v>2.3113999999999999</v>
      </c>
      <c r="D14" s="76"/>
      <c r="E14" s="40" t="s">
        <v>25</v>
      </c>
      <c r="F14" s="9"/>
      <c r="G14" s="9"/>
      <c r="H14" s="14"/>
      <c r="I14" s="14"/>
      <c r="J14" s="14"/>
      <c r="K14" s="12"/>
      <c r="L14" s="11"/>
      <c r="M14" s="11"/>
      <c r="N14" s="39" t="s">
        <v>25</v>
      </c>
      <c r="O14" s="79">
        <f t="shared" ref="O14:O19" si="1">O5*0.3048+P5*0.0254</f>
        <v>2.3622000000000001</v>
      </c>
      <c r="P14" s="80"/>
      <c r="Q14" s="79">
        <f t="shared" ref="Q14:Q19" si="2">Q5*0.3048+R5*0.0254</f>
        <v>2.2606000000000002</v>
      </c>
      <c r="R14" s="80"/>
      <c r="S14" s="40" t="s">
        <v>25</v>
      </c>
      <c r="T14" s="93" t="s">
        <v>83</v>
      </c>
    </row>
    <row r="15" spans="1:21" ht="15.75" thickBot="1" x14ac:dyDescent="0.3">
      <c r="A15" s="100"/>
      <c r="B15" s="39" t="s">
        <v>26</v>
      </c>
      <c r="C15" s="75">
        <f t="shared" si="0"/>
        <v>2.8575000000000004</v>
      </c>
      <c r="D15" s="76"/>
      <c r="E15" s="40" t="s">
        <v>26</v>
      </c>
      <c r="F15" s="9"/>
      <c r="G15" s="9"/>
      <c r="H15" s="67" t="s">
        <v>53</v>
      </c>
      <c r="I15" s="67"/>
      <c r="J15" s="67"/>
      <c r="K15" s="67"/>
      <c r="L15" s="67"/>
      <c r="N15" s="39" t="s">
        <v>26</v>
      </c>
      <c r="O15" s="79">
        <f t="shared" si="1"/>
        <v>2.9210000000000003</v>
      </c>
      <c r="P15" s="80"/>
      <c r="Q15" s="79">
        <f t="shared" si="2"/>
        <v>2.7940000000000005</v>
      </c>
      <c r="R15" s="80"/>
      <c r="S15" s="40" t="s">
        <v>26</v>
      </c>
      <c r="T15" s="94"/>
    </row>
    <row r="16" spans="1:21" ht="15.75" thickBot="1" x14ac:dyDescent="0.3">
      <c r="A16" s="101"/>
      <c r="B16" s="39" t="s">
        <v>27</v>
      </c>
      <c r="C16" s="75">
        <f t="shared" si="0"/>
        <v>3.1114999999999999</v>
      </c>
      <c r="D16" s="76"/>
      <c r="E16" s="40" t="s">
        <v>27</v>
      </c>
      <c r="F16" s="9"/>
      <c r="G16" s="9"/>
      <c r="H16" s="68" t="s">
        <v>54</v>
      </c>
      <c r="I16" s="68"/>
      <c r="J16" s="68"/>
      <c r="K16" s="48">
        <v>8200</v>
      </c>
      <c r="L16" s="49" t="s">
        <v>1</v>
      </c>
      <c r="N16" s="39" t="s">
        <v>27</v>
      </c>
      <c r="O16" s="79">
        <f t="shared" si="1"/>
        <v>3.1749999999999998</v>
      </c>
      <c r="P16" s="80"/>
      <c r="Q16" s="79">
        <f t="shared" si="2"/>
        <v>3.048</v>
      </c>
      <c r="R16" s="80"/>
      <c r="S16" s="40" t="s">
        <v>27</v>
      </c>
      <c r="T16" s="95"/>
    </row>
    <row r="17" spans="1:20" ht="15.75" thickBot="1" x14ac:dyDescent="0.3">
      <c r="A17" s="102" t="s">
        <v>84</v>
      </c>
      <c r="B17" s="41" t="s">
        <v>28</v>
      </c>
      <c r="C17" s="65">
        <f t="shared" si="0"/>
        <v>5.5626000000000007</v>
      </c>
      <c r="D17" s="66"/>
      <c r="E17" s="42" t="s">
        <v>28</v>
      </c>
      <c r="F17" s="9"/>
      <c r="G17" s="9"/>
      <c r="H17" s="68" t="s">
        <v>55</v>
      </c>
      <c r="I17" s="68"/>
      <c r="J17" s="68"/>
      <c r="K17" s="48">
        <f>K16-K12</f>
        <v>5150</v>
      </c>
      <c r="L17" s="49" t="s">
        <v>1</v>
      </c>
      <c r="N17" s="41" t="s">
        <v>28</v>
      </c>
      <c r="O17" s="65">
        <f t="shared" si="1"/>
        <v>5.5372000000000003</v>
      </c>
      <c r="P17" s="66"/>
      <c r="Q17" s="65">
        <f t="shared" si="2"/>
        <v>5.588000000000001</v>
      </c>
      <c r="R17" s="66"/>
      <c r="S17" s="42" t="s">
        <v>28</v>
      </c>
      <c r="T17" s="96" t="s">
        <v>84</v>
      </c>
    </row>
    <row r="18" spans="1:20" ht="15.75" thickBot="1" x14ac:dyDescent="0.3">
      <c r="A18" s="103"/>
      <c r="B18" s="41" t="s">
        <v>29</v>
      </c>
      <c r="C18" s="65">
        <f t="shared" si="0"/>
        <v>5.7658000000000005</v>
      </c>
      <c r="D18" s="66"/>
      <c r="E18" s="42" t="s">
        <v>29</v>
      </c>
      <c r="F18" s="9"/>
      <c r="G18" s="9"/>
      <c r="H18" s="68" t="s">
        <v>56</v>
      </c>
      <c r="I18" s="68"/>
      <c r="J18" s="68"/>
      <c r="K18" s="45">
        <v>-25</v>
      </c>
      <c r="L18" s="49" t="s">
        <v>1</v>
      </c>
      <c r="N18" s="41" t="s">
        <v>29</v>
      </c>
      <c r="O18" s="65">
        <f t="shared" si="1"/>
        <v>5.6896000000000004</v>
      </c>
      <c r="P18" s="66"/>
      <c r="Q18" s="65">
        <f t="shared" si="2"/>
        <v>5.8419999999999996</v>
      </c>
      <c r="R18" s="66"/>
      <c r="S18" s="42" t="s">
        <v>29</v>
      </c>
      <c r="T18" s="97"/>
    </row>
    <row r="19" spans="1:20" ht="15.75" thickBot="1" x14ac:dyDescent="0.3">
      <c r="A19" s="104"/>
      <c r="B19" s="41" t="s">
        <v>30</v>
      </c>
      <c r="C19" s="84">
        <f t="shared" si="0"/>
        <v>6.0451999999999995</v>
      </c>
      <c r="D19" s="85"/>
      <c r="E19" s="42" t="s">
        <v>30</v>
      </c>
      <c r="F19" s="9"/>
      <c r="G19" s="9"/>
      <c r="H19" s="68" t="s">
        <v>57</v>
      </c>
      <c r="I19" s="68"/>
      <c r="J19" s="68"/>
      <c r="K19" s="45">
        <v>120</v>
      </c>
      <c r="L19" s="49" t="s">
        <v>1</v>
      </c>
      <c r="N19" s="41" t="s">
        <v>30</v>
      </c>
      <c r="O19" s="65">
        <f t="shared" si="1"/>
        <v>5.9943999999999997</v>
      </c>
      <c r="P19" s="66"/>
      <c r="Q19" s="65">
        <f t="shared" si="2"/>
        <v>6.0960000000000001</v>
      </c>
      <c r="R19" s="66"/>
      <c r="S19" s="42" t="s">
        <v>30</v>
      </c>
      <c r="T19" s="98"/>
    </row>
    <row r="20" spans="1:20" x14ac:dyDescent="0.25">
      <c r="F20" s="9"/>
      <c r="G20" s="9"/>
      <c r="H20" s="68" t="s">
        <v>58</v>
      </c>
      <c r="I20" s="68"/>
      <c r="J20" s="68"/>
      <c r="K20" s="48">
        <f>K11+K18+K19</f>
        <v>399</v>
      </c>
      <c r="L20" s="49" t="s">
        <v>1</v>
      </c>
    </row>
    <row r="21" spans="1:20" x14ac:dyDescent="0.25">
      <c r="H21" s="69" t="s">
        <v>59</v>
      </c>
      <c r="I21" s="69"/>
      <c r="J21" s="69"/>
      <c r="K21" s="48">
        <f>K17-K20</f>
        <v>4751</v>
      </c>
      <c r="L21" s="49" t="s">
        <v>1</v>
      </c>
    </row>
    <row r="22" spans="1:20" x14ac:dyDescent="0.25">
      <c r="A22" s="105" t="s">
        <v>83</v>
      </c>
      <c r="B22" s="63" t="s">
        <v>39</v>
      </c>
      <c r="C22" s="63"/>
      <c r="D22" s="63"/>
      <c r="E22" s="58">
        <f>($D$2/2)-E27</f>
        <v>56.894275</v>
      </c>
      <c r="F22" s="51" t="s">
        <v>34</v>
      </c>
      <c r="N22" s="71" t="s">
        <v>74</v>
      </c>
      <c r="O22" s="71"/>
      <c r="P22" s="71"/>
      <c r="Q22" s="71"/>
      <c r="R22" s="71"/>
      <c r="S22" s="71"/>
    </row>
    <row r="23" spans="1:20" ht="15.75" thickBot="1" x14ac:dyDescent="0.3">
      <c r="A23" s="105"/>
      <c r="B23" s="63" t="s">
        <v>40</v>
      </c>
      <c r="C23" s="63"/>
      <c r="D23" s="63"/>
      <c r="E23" s="58">
        <f>-($D$2/2)-E27</f>
        <v>-53.105725</v>
      </c>
      <c r="F23" s="51" t="s">
        <v>34</v>
      </c>
      <c r="H23" s="67" t="s">
        <v>76</v>
      </c>
      <c r="I23" s="67"/>
      <c r="J23" s="67"/>
      <c r="K23" s="67"/>
      <c r="L23" s="67"/>
      <c r="N23" s="77" t="s">
        <v>31</v>
      </c>
      <c r="O23" s="78"/>
      <c r="P23" s="78"/>
      <c r="Q23" s="78"/>
      <c r="R23" s="78"/>
      <c r="S23" s="77"/>
    </row>
    <row r="24" spans="1:20" ht="15.75" customHeight="1" thickBot="1" x14ac:dyDescent="0.3">
      <c r="A24" s="105"/>
      <c r="B24" s="63" t="s">
        <v>35</v>
      </c>
      <c r="C24" s="63"/>
      <c r="D24" s="63"/>
      <c r="E24" s="59">
        <f>(C16+C14)/2</f>
        <v>2.7114500000000001</v>
      </c>
      <c r="F24" s="51" t="s">
        <v>34</v>
      </c>
      <c r="H24" s="61" t="s">
        <v>78</v>
      </c>
      <c r="I24" s="61"/>
      <c r="J24" s="53">
        <f>E29</f>
        <v>2.6976717324772728</v>
      </c>
      <c r="K24" s="54">
        <f>Calculos!E71</f>
        <v>3343.2362066206692</v>
      </c>
      <c r="L24" s="46" t="s">
        <v>1</v>
      </c>
      <c r="N24" s="39" t="s">
        <v>25</v>
      </c>
      <c r="O24" s="86"/>
      <c r="P24" s="87"/>
      <c r="Q24" s="87"/>
      <c r="R24" s="88"/>
      <c r="S24" s="40" t="s">
        <v>25</v>
      </c>
      <c r="T24" s="93" t="s">
        <v>83</v>
      </c>
    </row>
    <row r="25" spans="1:20" ht="15.75" thickBot="1" x14ac:dyDescent="0.3">
      <c r="A25" s="105"/>
      <c r="B25" s="63" t="s">
        <v>36</v>
      </c>
      <c r="C25" s="63"/>
      <c r="D25" s="63"/>
      <c r="E25" s="59">
        <f>C16-C14</f>
        <v>0.80010000000000003</v>
      </c>
      <c r="F25" s="59" t="s">
        <v>34</v>
      </c>
      <c r="G25" s="1"/>
      <c r="H25" s="61" t="s">
        <v>79</v>
      </c>
      <c r="I25" s="61"/>
      <c r="J25" s="53">
        <f>E40</f>
        <v>5.8072531486727277</v>
      </c>
      <c r="K25" s="54">
        <f>Calculos!E78</f>
        <v>8211.523439953804</v>
      </c>
      <c r="L25" s="46" t="s">
        <v>1</v>
      </c>
      <c r="N25" s="39" t="s">
        <v>26</v>
      </c>
      <c r="O25" s="86"/>
      <c r="P25" s="87"/>
      <c r="Q25" s="87"/>
      <c r="R25" s="88"/>
      <c r="S25" s="40" t="s">
        <v>26</v>
      </c>
      <c r="T25" s="94"/>
    </row>
    <row r="26" spans="1:20" ht="15.75" customHeight="1" thickBot="1" x14ac:dyDescent="0.3">
      <c r="A26" s="105"/>
      <c r="B26" s="63" t="s">
        <v>43</v>
      </c>
      <c r="C26" s="63"/>
      <c r="D26" s="43" t="str">
        <f>IF(E26&lt;0,  "Quebranto", "Arrufo")</f>
        <v>Arrufo</v>
      </c>
      <c r="E26" s="60">
        <f>C15-E24</f>
        <v>0.14605000000000024</v>
      </c>
      <c r="F26" s="59" t="s">
        <v>34</v>
      </c>
      <c r="G26" s="1"/>
      <c r="H26" s="61" t="s">
        <v>80</v>
      </c>
      <c r="I26" s="61"/>
      <c r="J26" s="61"/>
      <c r="K26" s="54">
        <f>K25-K24</f>
        <v>4868.2872333331343</v>
      </c>
      <c r="L26" s="46" t="s">
        <v>1</v>
      </c>
      <c r="N26" s="39" t="s">
        <v>27</v>
      </c>
      <c r="O26" s="86"/>
      <c r="P26" s="87"/>
      <c r="Q26" s="87"/>
      <c r="R26" s="88"/>
      <c r="S26" s="40" t="s">
        <v>27</v>
      </c>
      <c r="T26" s="95"/>
    </row>
    <row r="27" spans="1:20" ht="15.75" thickBot="1" x14ac:dyDescent="0.3">
      <c r="A27" s="105"/>
      <c r="B27" s="63" t="s">
        <v>33</v>
      </c>
      <c r="C27" s="63"/>
      <c r="D27" s="63"/>
      <c r="E27" s="60">
        <f>Calculos!B71</f>
        <v>-1.8942750000000002</v>
      </c>
      <c r="F27" s="51" t="s">
        <v>34</v>
      </c>
      <c r="H27" s="61" t="s">
        <v>81</v>
      </c>
      <c r="I27" s="61"/>
      <c r="J27" s="61"/>
      <c r="K27" s="55">
        <f>K20-K11</f>
        <v>95</v>
      </c>
      <c r="L27" s="46" t="s">
        <v>1</v>
      </c>
      <c r="N27" s="41" t="s">
        <v>28</v>
      </c>
      <c r="O27" s="89"/>
      <c r="P27" s="90"/>
      <c r="Q27" s="90"/>
      <c r="R27" s="91"/>
      <c r="S27" s="42" t="s">
        <v>28</v>
      </c>
      <c r="T27" s="96" t="s">
        <v>84</v>
      </c>
    </row>
    <row r="28" spans="1:20" ht="15.75" thickBot="1" x14ac:dyDescent="0.3">
      <c r="A28" s="105"/>
      <c r="B28" s="63" t="s">
        <v>37</v>
      </c>
      <c r="C28" s="63"/>
      <c r="D28" s="63"/>
      <c r="E28" s="60">
        <f>(E25/$D$2)*$E$27</f>
        <v>-1.3778267522727275E-2</v>
      </c>
      <c r="F28" s="51" t="s">
        <v>34</v>
      </c>
      <c r="H28" s="64" t="s">
        <v>82</v>
      </c>
      <c r="I28" s="64"/>
      <c r="J28" s="64"/>
      <c r="K28" s="56">
        <f>K26-K27</f>
        <v>4773.2872333331343</v>
      </c>
      <c r="L28" s="46" t="s">
        <v>1</v>
      </c>
      <c r="N28" s="41" t="s">
        <v>29</v>
      </c>
      <c r="O28" s="89"/>
      <c r="P28" s="90"/>
      <c r="Q28" s="90"/>
      <c r="R28" s="91"/>
      <c r="S28" s="42" t="s">
        <v>29</v>
      </c>
      <c r="T28" s="97"/>
    </row>
    <row r="29" spans="1:20" ht="15.75" thickBot="1" x14ac:dyDescent="0.3">
      <c r="A29" s="105"/>
      <c r="B29" s="63" t="s">
        <v>38</v>
      </c>
      <c r="C29" s="63"/>
      <c r="D29" s="63"/>
      <c r="E29" s="60">
        <f>E24+E28</f>
        <v>2.6976717324772728</v>
      </c>
      <c r="F29" s="60" t="s">
        <v>34</v>
      </c>
      <c r="G29" s="10"/>
      <c r="N29" s="41" t="s">
        <v>30</v>
      </c>
      <c r="O29" s="89"/>
      <c r="P29" s="90"/>
      <c r="Q29" s="90"/>
      <c r="R29" s="91"/>
      <c r="S29" s="42" t="s">
        <v>30</v>
      </c>
      <c r="T29" s="98"/>
    </row>
    <row r="30" spans="1:20" x14ac:dyDescent="0.25">
      <c r="A30" s="105"/>
      <c r="B30" s="63" t="s">
        <v>41</v>
      </c>
      <c r="C30" s="63"/>
      <c r="D30" s="63"/>
      <c r="E30" s="59">
        <f>E25/$D$2*$E$22</f>
        <v>0.41382826752272728</v>
      </c>
      <c r="F30" s="59" t="s">
        <v>34</v>
      </c>
      <c r="G30" s="1"/>
      <c r="H30" s="67" t="s">
        <v>87</v>
      </c>
      <c r="I30" s="67"/>
      <c r="J30" s="67"/>
      <c r="K30" s="67"/>
      <c r="L30" s="67"/>
    </row>
    <row r="31" spans="1:20" x14ac:dyDescent="0.25">
      <c r="A31" s="105"/>
      <c r="B31" s="63" t="s">
        <v>42</v>
      </c>
      <c r="C31" s="63"/>
      <c r="D31" s="63"/>
      <c r="E31" s="59">
        <f>E25/$D$2*$E$23</f>
        <v>-0.38627173247727276</v>
      </c>
      <c r="F31" s="59" t="s">
        <v>34</v>
      </c>
      <c r="G31" s="1"/>
      <c r="H31" s="61" t="s">
        <v>88</v>
      </c>
      <c r="I31" s="61"/>
      <c r="J31" s="61"/>
      <c r="K31" s="54">
        <f>(E29+E40)/2</f>
        <v>4.252462440575</v>
      </c>
      <c r="L31" s="46" t="s">
        <v>1</v>
      </c>
      <c r="N31" s="9"/>
      <c r="O31" s="92"/>
      <c r="P31" s="92"/>
      <c r="Q31" s="92"/>
      <c r="R31" s="92"/>
      <c r="S31" s="9"/>
    </row>
    <row r="32" spans="1:20" x14ac:dyDescent="0.25">
      <c r="F32" s="1"/>
      <c r="G32" s="1"/>
      <c r="H32" s="61" t="s">
        <v>90</v>
      </c>
      <c r="I32" s="61"/>
      <c r="J32" s="61"/>
      <c r="K32" s="57">
        <f>Calculos!H71</f>
        <v>15.19098497623</v>
      </c>
      <c r="L32" s="46" t="s">
        <v>1</v>
      </c>
      <c r="N32" s="74"/>
      <c r="O32" s="74"/>
      <c r="P32" s="13"/>
      <c r="S32" s="1"/>
    </row>
    <row r="33" spans="1:19" x14ac:dyDescent="0.25">
      <c r="A33" s="62" t="s">
        <v>84</v>
      </c>
      <c r="B33" s="61" t="s">
        <v>39</v>
      </c>
      <c r="C33" s="61"/>
      <c r="D33" s="61"/>
      <c r="E33" s="47">
        <f>($D$2/2)-E38</f>
        <v>54.235709999999997</v>
      </c>
      <c r="F33" s="46" t="s">
        <v>34</v>
      </c>
      <c r="H33" s="61" t="s">
        <v>91</v>
      </c>
      <c r="I33" s="61"/>
      <c r="J33" s="61"/>
      <c r="K33" s="57">
        <f>E45*100*K32</f>
        <v>4723.7604575789164</v>
      </c>
      <c r="L33" s="46" t="s">
        <v>1</v>
      </c>
    </row>
    <row r="34" spans="1:19" x14ac:dyDescent="0.25">
      <c r="A34" s="62"/>
      <c r="B34" s="61" t="s">
        <v>40</v>
      </c>
      <c r="C34" s="61"/>
      <c r="D34" s="61"/>
      <c r="E34" s="47">
        <f>-($D$2/2)-E38</f>
        <v>-55.764290000000003</v>
      </c>
      <c r="F34" s="46" t="s">
        <v>34</v>
      </c>
      <c r="G34" s="1"/>
      <c r="H34" s="61" t="s">
        <v>81</v>
      </c>
      <c r="I34" s="61"/>
      <c r="J34" s="61"/>
      <c r="K34" s="55">
        <f>K27</f>
        <v>95</v>
      </c>
      <c r="L34" s="46" t="s">
        <v>1</v>
      </c>
      <c r="N34" s="74"/>
      <c r="O34" s="74"/>
      <c r="P34" s="13"/>
      <c r="S34" s="1"/>
    </row>
    <row r="35" spans="1:19" ht="15" customHeight="1" x14ac:dyDescent="0.25">
      <c r="A35" s="62"/>
      <c r="B35" s="61" t="s">
        <v>35</v>
      </c>
      <c r="C35" s="61"/>
      <c r="D35" s="61"/>
      <c r="E35" s="54">
        <f>(C19+C17)/2</f>
        <v>5.8039000000000005</v>
      </c>
      <c r="F35" s="54" t="s">
        <v>34</v>
      </c>
      <c r="G35" s="1"/>
      <c r="H35" s="64" t="s">
        <v>92</v>
      </c>
      <c r="I35" s="64"/>
      <c r="J35" s="64"/>
      <c r="K35" s="56">
        <f>K33-K34</f>
        <v>4628.7604575789164</v>
      </c>
      <c r="L35" s="46" t="s">
        <v>1</v>
      </c>
      <c r="N35" s="74"/>
      <c r="O35" s="74"/>
      <c r="P35" s="13"/>
      <c r="S35" s="1"/>
    </row>
    <row r="36" spans="1:19" x14ac:dyDescent="0.25">
      <c r="A36" s="62"/>
      <c r="B36" s="61" t="s">
        <v>36</v>
      </c>
      <c r="C36" s="61"/>
      <c r="D36" s="61"/>
      <c r="E36" s="54">
        <f>C19-C17</f>
        <v>0.48259999999999881</v>
      </c>
      <c r="F36" s="54" t="s">
        <v>34</v>
      </c>
      <c r="N36" s="74"/>
      <c r="O36" s="74"/>
      <c r="P36" s="13"/>
      <c r="S36" s="1"/>
    </row>
    <row r="37" spans="1:19" x14ac:dyDescent="0.25">
      <c r="A37" s="62"/>
      <c r="B37" s="61" t="s">
        <v>43</v>
      </c>
      <c r="C37" s="61"/>
      <c r="D37" s="44" t="str">
        <f>IF(E37&lt;0,  "Quebranto", "Arrufo")</f>
        <v>Quebranto</v>
      </c>
      <c r="E37" s="53">
        <f>C18-E35</f>
        <v>-3.8100000000000023E-2</v>
      </c>
      <c r="F37" s="54" t="s">
        <v>34</v>
      </c>
      <c r="N37" s="74"/>
      <c r="O37" s="74"/>
      <c r="P37" s="13"/>
      <c r="S37" s="10"/>
    </row>
    <row r="38" spans="1:19" x14ac:dyDescent="0.25">
      <c r="A38" s="62"/>
      <c r="B38" s="61" t="s">
        <v>33</v>
      </c>
      <c r="C38" s="61"/>
      <c r="D38" s="61"/>
      <c r="E38" s="53">
        <f>Calculos!B78</f>
        <v>0.76429000000000569</v>
      </c>
      <c r="F38" s="54" t="s">
        <v>34</v>
      </c>
      <c r="G38" s="10"/>
      <c r="N38" s="74"/>
      <c r="O38" s="74"/>
      <c r="P38" s="13"/>
      <c r="S38" s="10"/>
    </row>
    <row r="39" spans="1:19" x14ac:dyDescent="0.25">
      <c r="A39" s="62"/>
      <c r="B39" s="61" t="s">
        <v>37</v>
      </c>
      <c r="C39" s="61"/>
      <c r="D39" s="61"/>
      <c r="E39" s="53">
        <f>(E36/$D$2)*$E$38</f>
        <v>3.353148672727289E-3</v>
      </c>
      <c r="F39" s="54" t="s">
        <v>34</v>
      </c>
      <c r="G39" s="1"/>
      <c r="N39" s="74"/>
      <c r="O39" s="74"/>
      <c r="P39" s="13"/>
      <c r="S39" s="1"/>
    </row>
    <row r="40" spans="1:19" x14ac:dyDescent="0.25">
      <c r="A40" s="62"/>
      <c r="B40" s="61" t="s">
        <v>38</v>
      </c>
      <c r="C40" s="61"/>
      <c r="D40" s="61"/>
      <c r="E40" s="53">
        <f>E35+E39</f>
        <v>5.8072531486727277</v>
      </c>
      <c r="F40" s="53" t="s">
        <v>34</v>
      </c>
      <c r="G40" s="1"/>
      <c r="N40" s="74"/>
      <c r="O40" s="74"/>
      <c r="P40" s="13"/>
      <c r="S40" s="1"/>
    </row>
    <row r="41" spans="1:19" x14ac:dyDescent="0.25">
      <c r="A41" s="62"/>
      <c r="B41" s="61" t="s">
        <v>41</v>
      </c>
      <c r="C41" s="61"/>
      <c r="D41" s="61"/>
      <c r="E41" s="54">
        <f>E36/$D$2*$E$22</f>
        <v>0.24961070104545391</v>
      </c>
      <c r="F41" s="54" t="s">
        <v>34</v>
      </c>
      <c r="G41" s="1"/>
      <c r="N41" s="74"/>
      <c r="O41" s="74"/>
      <c r="P41" s="13"/>
      <c r="S41" s="1"/>
    </row>
    <row r="42" spans="1:19" x14ac:dyDescent="0.25">
      <c r="A42" s="62"/>
      <c r="B42" s="61" t="s">
        <v>42</v>
      </c>
      <c r="C42" s="61"/>
      <c r="D42" s="61"/>
      <c r="E42" s="54">
        <f>E36/$D$2*$E$23</f>
        <v>-0.23298929895454487</v>
      </c>
      <c r="F42" s="54" t="s">
        <v>34</v>
      </c>
    </row>
    <row r="43" spans="1:19" x14ac:dyDescent="0.25">
      <c r="F43" s="1"/>
      <c r="N43" s="74"/>
      <c r="O43" s="74"/>
      <c r="P43" s="13"/>
      <c r="S43" s="1"/>
    </row>
    <row r="44" spans="1:19" x14ac:dyDescent="0.25">
      <c r="B44" s="13" t="s">
        <v>60</v>
      </c>
      <c r="C44" s="13"/>
      <c r="E44" s="1">
        <f>E36-E25</f>
        <v>-0.31750000000000123</v>
      </c>
      <c r="F44" s="1" t="s">
        <v>34</v>
      </c>
    </row>
    <row r="45" spans="1:19" x14ac:dyDescent="0.25">
      <c r="B45" s="13" t="s">
        <v>86</v>
      </c>
      <c r="D45" t="str">
        <f>IF(E45&lt;0,  "Emersión", "Inmersión")</f>
        <v>Inmersión</v>
      </c>
      <c r="E45" s="10">
        <f>E40-E29</f>
        <v>3.1095814161954549</v>
      </c>
      <c r="F45" s="1" t="s">
        <v>34</v>
      </c>
    </row>
  </sheetData>
  <sheetProtection algorithmName="SHA-512" hashValue="4oeAbGqhs+rin67FHsGmTbZqKAQAD1Mo3M+ZxV2L97vTFzh/btsLVeOPuHiC1IJpyn6i5G0Y99GyBC9kIV10+Q==" saltValue="nczDuadsb0W1ng2m25NzQw==" spinCount="100000" sheet="1" objects="1" scenarios="1"/>
  <mergeCells count="105">
    <mergeCell ref="T5:T7"/>
    <mergeCell ref="T8:T10"/>
    <mergeCell ref="A5:A7"/>
    <mergeCell ref="A8:A10"/>
    <mergeCell ref="O27:R27"/>
    <mergeCell ref="O14:P14"/>
    <mergeCell ref="Q14:R14"/>
    <mergeCell ref="O15:P15"/>
    <mergeCell ref="Q15:R15"/>
    <mergeCell ref="C15:D15"/>
    <mergeCell ref="C16:D16"/>
    <mergeCell ref="H11:J11"/>
    <mergeCell ref="A14:A16"/>
    <mergeCell ref="A17:A19"/>
    <mergeCell ref="A22:A31"/>
    <mergeCell ref="O17:P17"/>
    <mergeCell ref="Q17:R17"/>
    <mergeCell ref="T14:T16"/>
    <mergeCell ref="T17:T19"/>
    <mergeCell ref="T24:T26"/>
    <mergeCell ref="T27:T29"/>
    <mergeCell ref="H1:K1"/>
    <mergeCell ref="N43:O43"/>
    <mergeCell ref="N32:O32"/>
    <mergeCell ref="N34:O34"/>
    <mergeCell ref="N35:O35"/>
    <mergeCell ref="N38:O38"/>
    <mergeCell ref="N39:O39"/>
    <mergeCell ref="N40:O40"/>
    <mergeCell ref="N41:O41"/>
    <mergeCell ref="N36:O36"/>
    <mergeCell ref="O25:R25"/>
    <mergeCell ref="O26:R26"/>
    <mergeCell ref="O29:R29"/>
    <mergeCell ref="O31:R31"/>
    <mergeCell ref="N22:S22"/>
    <mergeCell ref="N23:S23"/>
    <mergeCell ref="O18:P18"/>
    <mergeCell ref="Q18:R18"/>
    <mergeCell ref="O19:P19"/>
    <mergeCell ref="Q19:R19"/>
    <mergeCell ref="H18:J18"/>
    <mergeCell ref="H19:J19"/>
    <mergeCell ref="O24:R24"/>
    <mergeCell ref="O28:R28"/>
    <mergeCell ref="B2:C2"/>
    <mergeCell ref="N12:S12"/>
    <mergeCell ref="B13:E13"/>
    <mergeCell ref="N37:O37"/>
    <mergeCell ref="C14:D14"/>
    <mergeCell ref="B4:E4"/>
    <mergeCell ref="N13:S13"/>
    <mergeCell ref="O16:P16"/>
    <mergeCell ref="Q16:R16"/>
    <mergeCell ref="H4:L4"/>
    <mergeCell ref="H15:L15"/>
    <mergeCell ref="H5:J5"/>
    <mergeCell ref="H6:J6"/>
    <mergeCell ref="N4:S4"/>
    <mergeCell ref="C18:D18"/>
    <mergeCell ref="C19:D19"/>
    <mergeCell ref="H12:J12"/>
    <mergeCell ref="H13:J13"/>
    <mergeCell ref="H16:J16"/>
    <mergeCell ref="H17:J17"/>
    <mergeCell ref="H7:J7"/>
    <mergeCell ref="H8:J8"/>
    <mergeCell ref="H9:J9"/>
    <mergeCell ref="H10:J10"/>
    <mergeCell ref="H34:J34"/>
    <mergeCell ref="H35:J35"/>
    <mergeCell ref="C17:D17"/>
    <mergeCell ref="H27:J27"/>
    <mergeCell ref="H28:J28"/>
    <mergeCell ref="H23:L23"/>
    <mergeCell ref="H30:L30"/>
    <mergeCell ref="H31:J31"/>
    <mergeCell ref="H20:J20"/>
    <mergeCell ref="H21:J21"/>
    <mergeCell ref="H24:I24"/>
    <mergeCell ref="H25:I25"/>
    <mergeCell ref="H26:J26"/>
    <mergeCell ref="H32:J32"/>
    <mergeCell ref="H33:J33"/>
    <mergeCell ref="B39:D39"/>
    <mergeCell ref="B40:D40"/>
    <mergeCell ref="B41:D41"/>
    <mergeCell ref="B42:D42"/>
    <mergeCell ref="B37:C37"/>
    <mergeCell ref="A33:A42"/>
    <mergeCell ref="B22:D22"/>
    <mergeCell ref="B23:D23"/>
    <mergeCell ref="B24:D24"/>
    <mergeCell ref="B25:D25"/>
    <mergeCell ref="B27:D27"/>
    <mergeCell ref="B28:D28"/>
    <mergeCell ref="B29:D29"/>
    <mergeCell ref="B30:D30"/>
    <mergeCell ref="B31:D31"/>
    <mergeCell ref="B26:C26"/>
    <mergeCell ref="B33:D33"/>
    <mergeCell ref="B34:D34"/>
    <mergeCell ref="B35:D35"/>
    <mergeCell ref="B36:D36"/>
    <mergeCell ref="B38:D38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4294967294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" id="{96342C58-C465-4F7D-8EDC-2066B3EEC3AE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4ArrowsGray" iconId="1"/>
              <x14:cfIcon iconSet="3ArrowsGray" iconId="1"/>
              <x14:cfIcon iconSet="4ArrowsGray" iconId="2"/>
            </x14:iconSet>
          </x14:cfRule>
          <xm:sqref>E25 F26:G26</xm:sqref>
        </x14:conditionalFormatting>
        <x14:conditionalFormatting xmlns:xm="http://schemas.microsoft.com/office/excel/2006/main">
          <x14:cfRule type="iconSet" priority="15" id="{DA1EC947-9467-4D85-80D3-6A036D2D87F7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4ArrowsGray" iconId="1"/>
              <x14:cfIcon iconSet="3ArrowsGray" iconId="1"/>
              <x14:cfIcon iconSet="4ArrowsGray" iconId="2"/>
            </x14:iconSet>
          </x14:cfRule>
          <xm:sqref>E36 G35 F37:F39</xm:sqref>
        </x14:conditionalFormatting>
        <x14:conditionalFormatting xmlns:xm="http://schemas.microsoft.com/office/excel/2006/main">
          <x14:cfRule type="iconSet" priority="14" id="{B4B0534F-3288-4C8C-8EEF-B5FF8B0799F6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4ArrowsGray" iconId="1"/>
              <x14:cfIcon iconSet="3ArrowsGray" iconId="1"/>
              <x14:cfIcon iconSet="4ArrowsGray" iconId="2"/>
            </x14:iconSet>
          </x14:cfRule>
          <xm:sqref>S35</xm:sqref>
        </x14:conditionalFormatting>
        <x14:conditionalFormatting xmlns:xm="http://schemas.microsoft.com/office/excel/2006/main">
          <x14:cfRule type="iconSet" priority="12" id="{033A8997-0EE2-460C-B6B4-9314F1A49C4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2"/>
              <x14:cfIcon iconSet="3Triangles" iconId="1"/>
              <x14:cfIcon iconSet="3Triangles" iconId="0"/>
            </x14:iconSet>
          </x14:cfRule>
          <xm:sqref>E26</xm:sqref>
        </x14:conditionalFormatting>
        <x14:conditionalFormatting xmlns:xm="http://schemas.microsoft.com/office/excel/2006/main">
          <x14:cfRule type="iconSet" priority="10" id="{38A7C60B-681D-4EA8-9283-AE35769ECAF5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2"/>
              <x14:cfIcon iconSet="3Triangles" iconId="1"/>
              <x14:cfIcon iconSet="3Triangles" iconId="0"/>
            </x14:iconSet>
          </x14:cfRule>
          <xm:sqref>E37</xm:sqref>
        </x14:conditionalFormatting>
        <x14:conditionalFormatting xmlns:xm="http://schemas.microsoft.com/office/excel/2006/main">
          <x14:cfRule type="iconSet" priority="8" id="{71F21896-474F-4600-9F06-E38D9B5CAE0B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2"/>
              <x14:cfIcon iconSet="3Triangles" iconId="1"/>
              <x14:cfIcon iconSet="3Triangles" iconId="0"/>
            </x14:iconSet>
          </x14:cfRule>
          <xm:sqref>S36</xm:sqref>
        </x14:conditionalFormatting>
        <x14:conditionalFormatting xmlns:xm="http://schemas.microsoft.com/office/excel/2006/main">
          <x14:cfRule type="iconSet" priority="7" id="{C7D5CA80-8DAC-475E-B0EE-1559181CF0F3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4ArrowsGray" iconId="1"/>
              <x14:cfIcon iconSet="3ArrowsGray" iconId="1"/>
              <x14:cfIcon iconSet="4ArrowsGray" iconId="2"/>
            </x14:iconSet>
          </x14:cfRule>
          <xm:sqref>E44</xm:sqref>
        </x14:conditionalFormatting>
        <x14:conditionalFormatting xmlns:xm="http://schemas.microsoft.com/office/excel/2006/main">
          <x14:cfRule type="iconSet" priority="6" id="{B0C24158-74CE-4D15-A117-98FAD5D7080A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4ArrowsGray" iconId="1"/>
              <x14:cfIcon iconSet="3ArrowsGray" iconId="1"/>
              <x14:cfIcon iconSet="4ArrowsGray" iconId="2"/>
            </x14:iconSet>
          </x14:cfRule>
          <xm:sqref>S43</xm:sqref>
        </x14:conditionalFormatting>
        <x14:conditionalFormatting xmlns:xm="http://schemas.microsoft.com/office/excel/2006/main">
          <x14:cfRule type="iconSet" priority="2" id="{6BA80108-79A9-45C1-BA39-1D6DA22A1439}">
            <x14:iconSet custom="1">
              <x14:cfvo type="percent">
                <xm:f>0</xm:f>
              </x14:cfvo>
              <x14:cfvo type="num">
                <xm:f>2.2000000000000002</xm:f>
              </x14:cfvo>
              <x14:cfvo type="num" gte="0">
                <xm:f>6.2</xm:f>
              </x14:cfvo>
              <x14:cfIcon iconSet="3TrafficLights1" iconId="0"/>
              <x14:cfIcon iconSet="3TrafficLights1" iconId="2"/>
              <x14:cfIcon iconSet="3TrafficLights1" iconId="0"/>
            </x14:iconSet>
          </x14:cfRule>
          <xm:sqref>E40 E29</xm:sqref>
        </x14:conditionalFormatting>
        <x14:conditionalFormatting xmlns:xm="http://schemas.microsoft.com/office/excel/2006/main">
          <x14:cfRule type="iconSet" priority="1" id="{B5799FC7-7929-4207-ACDD-B278870B4400}">
            <x14:iconSet custom="1">
              <x14:cfvo type="percent">
                <xm:f>0</xm:f>
              </x14:cfvo>
              <x14:cfvo type="num" gte="0">
                <xm:f>0</xm:f>
              </x14:cfvo>
              <x14:cfvo type="num" gte="0">
                <xm:f>0</xm:f>
              </x14:cfvo>
              <x14:cfIcon iconSet="3ArrowsGray" iconId="2"/>
              <x14:cfIcon iconSet="3ArrowsGray" iconId="1"/>
              <x14:cfIcon iconSet="3ArrowsGray" iconId="0"/>
            </x14:iconSet>
          </x14:cfRule>
          <xm:sqref>E45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2" sqref="D2"/>
    </sheetView>
  </sheetViews>
  <sheetFormatPr baseColWidth="10" defaultRowHeight="15" x14ac:dyDescent="0.25"/>
  <cols>
    <col min="3" max="3" width="18.7109375" bestFit="1" customWidth="1"/>
  </cols>
  <sheetData>
    <row r="1" spans="1:4" x14ac:dyDescent="0.25">
      <c r="A1" t="s">
        <v>94</v>
      </c>
    </row>
    <row r="2" spans="1:4" x14ac:dyDescent="0.25">
      <c r="A2" t="s">
        <v>95</v>
      </c>
      <c r="B2">
        <v>1.0149999999999999</v>
      </c>
      <c r="C2" t="s">
        <v>97</v>
      </c>
    </row>
    <row r="3" spans="1:4" x14ac:dyDescent="0.25">
      <c r="C3" t="s">
        <v>96</v>
      </c>
      <c r="D3">
        <v>0.54</v>
      </c>
    </row>
    <row r="5" spans="1:4" x14ac:dyDescent="0.25">
      <c r="A5" t="s">
        <v>94</v>
      </c>
      <c r="C5">
        <f>D3*(1.025-B2)/(1.025-1)</f>
        <v>0.216000000000001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4"/>
  <sheetViews>
    <sheetView workbookViewId="0">
      <selection activeCell="O11" sqref="O11"/>
    </sheetView>
  </sheetViews>
  <sheetFormatPr baseColWidth="10" defaultRowHeight="15" x14ac:dyDescent="0.25"/>
  <cols>
    <col min="2" max="2" width="4.5703125" bestFit="1" customWidth="1"/>
    <col min="3" max="3" width="6.140625" customWidth="1"/>
    <col min="4" max="4" width="5.5703125" customWidth="1"/>
    <col min="5" max="5" width="8.85546875" customWidth="1"/>
    <col min="6" max="6" width="6.42578125" customWidth="1"/>
    <col min="7" max="7" width="5.7109375" customWidth="1"/>
    <col min="8" max="8" width="6.28515625" customWidth="1"/>
    <col min="9" max="9" width="7" customWidth="1"/>
    <col min="10" max="10" width="5.85546875" customWidth="1"/>
    <col min="11" max="11" width="7.140625" customWidth="1"/>
  </cols>
  <sheetData>
    <row r="3" spans="2:12" s="5" customFormat="1" ht="51.75" customHeight="1" x14ac:dyDescent="0.25">
      <c r="B3" s="17" t="s">
        <v>65</v>
      </c>
      <c r="C3" s="17" t="s">
        <v>61</v>
      </c>
      <c r="D3" s="18" t="s">
        <v>62</v>
      </c>
      <c r="E3" s="17" t="s">
        <v>63</v>
      </c>
      <c r="F3" s="17" t="s">
        <v>66</v>
      </c>
      <c r="G3" s="17" t="s">
        <v>64</v>
      </c>
      <c r="H3" s="17" t="s">
        <v>67</v>
      </c>
      <c r="I3" s="17" t="s">
        <v>68</v>
      </c>
      <c r="J3" s="17" t="s">
        <v>69</v>
      </c>
      <c r="K3" s="17" t="s">
        <v>70</v>
      </c>
      <c r="L3" s="17"/>
    </row>
    <row r="4" spans="2:12" x14ac:dyDescent="0.25">
      <c r="B4" s="1">
        <v>2.2000000000000002</v>
      </c>
      <c r="C4">
        <v>2705</v>
      </c>
      <c r="D4" s="16">
        <f>C4*1.025</f>
        <v>2772.6249999999995</v>
      </c>
      <c r="E4" s="1">
        <v>14.25</v>
      </c>
      <c r="F4" s="1">
        <v>-2.1</v>
      </c>
      <c r="G4" s="1">
        <v>1.17</v>
      </c>
      <c r="H4" s="1">
        <v>-2.42</v>
      </c>
      <c r="I4" s="1">
        <v>11.54</v>
      </c>
      <c r="J4" s="15">
        <v>321</v>
      </c>
      <c r="K4" s="15">
        <v>80.900000000000006</v>
      </c>
    </row>
    <row r="5" spans="2:12" x14ac:dyDescent="0.25">
      <c r="B5" s="1">
        <f>B4+0.1</f>
        <v>2.3000000000000003</v>
      </c>
      <c r="C5">
        <v>2845</v>
      </c>
      <c r="D5" s="16">
        <f t="shared" ref="D5:D44" si="0">C5*1.025</f>
        <v>2916.1249999999995</v>
      </c>
      <c r="E5" s="1">
        <v>14.3</v>
      </c>
      <c r="F5" s="1">
        <v>-2.06</v>
      </c>
      <c r="G5" s="1">
        <v>1.22</v>
      </c>
      <c r="H5" s="1">
        <v>-2.42</v>
      </c>
      <c r="I5" s="1">
        <v>11.19</v>
      </c>
      <c r="J5" s="15">
        <v>308</v>
      </c>
      <c r="K5" s="15">
        <v>81.7</v>
      </c>
    </row>
    <row r="6" spans="2:12" x14ac:dyDescent="0.25">
      <c r="B6" s="1">
        <f t="shared" ref="B6:B44" si="1">B5+0.1</f>
        <v>2.4000000000000004</v>
      </c>
      <c r="C6">
        <v>2984</v>
      </c>
      <c r="D6" s="16">
        <f t="shared" si="0"/>
        <v>3058.6</v>
      </c>
      <c r="E6" s="1">
        <v>14.35</v>
      </c>
      <c r="F6" s="1">
        <v>-2.02</v>
      </c>
      <c r="G6" s="1">
        <v>1.28</v>
      </c>
      <c r="H6" s="1">
        <v>-2.42</v>
      </c>
      <c r="I6" s="1">
        <v>10.84</v>
      </c>
      <c r="J6" s="15">
        <v>295</v>
      </c>
      <c r="K6" s="15">
        <v>82</v>
      </c>
    </row>
    <row r="7" spans="2:12" x14ac:dyDescent="0.25">
      <c r="B7" s="1">
        <f t="shared" si="1"/>
        <v>2.5000000000000004</v>
      </c>
      <c r="C7">
        <v>3125</v>
      </c>
      <c r="D7" s="16">
        <f t="shared" si="0"/>
        <v>3203.1249999999995</v>
      </c>
      <c r="E7" s="1">
        <v>14.4</v>
      </c>
      <c r="F7" s="1">
        <v>-1.98</v>
      </c>
      <c r="G7" s="1">
        <v>1.33</v>
      </c>
      <c r="H7" s="1">
        <v>-2.41</v>
      </c>
      <c r="I7" s="1">
        <v>10.49</v>
      </c>
      <c r="J7" s="15">
        <v>282</v>
      </c>
      <c r="K7" s="15">
        <v>82.1</v>
      </c>
    </row>
    <row r="8" spans="2:12" x14ac:dyDescent="0.25">
      <c r="B8" s="1">
        <f t="shared" si="1"/>
        <v>2.6000000000000005</v>
      </c>
      <c r="C8">
        <v>3265</v>
      </c>
      <c r="D8" s="16">
        <f t="shared" si="0"/>
        <v>3346.6249999999995</v>
      </c>
      <c r="E8" s="1">
        <v>14.45</v>
      </c>
      <c r="F8" s="1">
        <v>-1.94</v>
      </c>
      <c r="G8" s="1">
        <v>1.38</v>
      </c>
      <c r="H8" s="1">
        <v>-2.39</v>
      </c>
      <c r="I8" s="1">
        <v>10.199999999999999</v>
      </c>
      <c r="J8" s="15">
        <v>273</v>
      </c>
      <c r="K8" s="15">
        <v>83.1</v>
      </c>
    </row>
    <row r="9" spans="2:12" x14ac:dyDescent="0.25">
      <c r="B9" s="1">
        <f t="shared" si="1"/>
        <v>2.7000000000000006</v>
      </c>
      <c r="C9">
        <v>3407</v>
      </c>
      <c r="D9" s="16">
        <f t="shared" si="0"/>
        <v>3492.1749999999997</v>
      </c>
      <c r="E9" s="1">
        <v>14.5</v>
      </c>
      <c r="F9" s="1">
        <v>-1.9</v>
      </c>
      <c r="G9" s="1">
        <v>1.43</v>
      </c>
      <c r="H9" s="1">
        <v>-2.37</v>
      </c>
      <c r="I9" s="1">
        <v>9.93</v>
      </c>
      <c r="J9" s="15">
        <v>264</v>
      </c>
      <c r="K9" s="15">
        <v>83.8</v>
      </c>
    </row>
    <row r="10" spans="2:12" x14ac:dyDescent="0.25">
      <c r="B10" s="1">
        <f t="shared" si="1"/>
        <v>2.8000000000000007</v>
      </c>
      <c r="C10">
        <v>3548</v>
      </c>
      <c r="D10" s="16">
        <f t="shared" si="0"/>
        <v>3636.7</v>
      </c>
      <c r="E10" s="1">
        <v>14.56</v>
      </c>
      <c r="F10" s="1">
        <v>-1.85</v>
      </c>
      <c r="G10" s="1">
        <v>1.49</v>
      </c>
      <c r="H10" s="1">
        <v>-2.35</v>
      </c>
      <c r="I10" s="1">
        <v>9.68</v>
      </c>
      <c r="J10" s="15">
        <v>255.5</v>
      </c>
      <c r="K10" s="15">
        <v>84.5</v>
      </c>
    </row>
    <row r="11" spans="2:12" x14ac:dyDescent="0.25">
      <c r="B11" s="1">
        <f t="shared" si="1"/>
        <v>2.9000000000000008</v>
      </c>
      <c r="C11">
        <v>3691</v>
      </c>
      <c r="D11" s="16">
        <f t="shared" si="0"/>
        <v>3783.2749999999996</v>
      </c>
      <c r="E11" s="1">
        <v>14.61</v>
      </c>
      <c r="F11" s="1">
        <v>-1.81</v>
      </c>
      <c r="G11" s="1">
        <v>1.54</v>
      </c>
      <c r="H11" s="1">
        <v>-2.33</v>
      </c>
      <c r="I11" s="1">
        <v>9.4499999999999993</v>
      </c>
      <c r="J11" s="15">
        <v>247.5</v>
      </c>
      <c r="K11" s="15">
        <v>85.1</v>
      </c>
    </row>
    <row r="12" spans="2:12" x14ac:dyDescent="0.25">
      <c r="B12" s="1">
        <f t="shared" si="1"/>
        <v>3.0000000000000009</v>
      </c>
      <c r="C12">
        <v>3833</v>
      </c>
      <c r="D12" s="16">
        <f t="shared" si="0"/>
        <v>3928.8249999999998</v>
      </c>
      <c r="E12" s="1">
        <v>14.66</v>
      </c>
      <c r="F12" s="1">
        <v>-1.77</v>
      </c>
      <c r="G12" s="1">
        <v>1.59</v>
      </c>
      <c r="H12" s="1">
        <v>-2.31</v>
      </c>
      <c r="I12" s="1">
        <v>9.24</v>
      </c>
      <c r="J12" s="15">
        <v>239.5</v>
      </c>
      <c r="K12" s="15">
        <v>85.6</v>
      </c>
    </row>
    <row r="13" spans="2:12" x14ac:dyDescent="0.25">
      <c r="B13" s="1">
        <f t="shared" si="1"/>
        <v>3.100000000000001</v>
      </c>
      <c r="C13">
        <v>3977</v>
      </c>
      <c r="D13" s="16">
        <f t="shared" si="0"/>
        <v>4076.4249999999997</v>
      </c>
      <c r="E13" s="1">
        <v>14.71</v>
      </c>
      <c r="F13" s="1">
        <v>-1.72</v>
      </c>
      <c r="G13" s="1">
        <v>1.64</v>
      </c>
      <c r="H13" s="1">
        <v>-2.29</v>
      </c>
      <c r="I13" s="1">
        <v>9.0500000000000007</v>
      </c>
      <c r="J13" s="15">
        <v>231.5</v>
      </c>
      <c r="K13" s="15">
        <v>85.8</v>
      </c>
    </row>
    <row r="14" spans="2:12" x14ac:dyDescent="0.25">
      <c r="B14" s="1">
        <f t="shared" si="1"/>
        <v>3.2000000000000011</v>
      </c>
      <c r="C14">
        <v>4120</v>
      </c>
      <c r="D14" s="16">
        <f t="shared" si="0"/>
        <v>4223</v>
      </c>
      <c r="E14" s="1">
        <v>14.76</v>
      </c>
      <c r="F14" s="1">
        <v>-1.68</v>
      </c>
      <c r="G14" s="1">
        <v>1.7</v>
      </c>
      <c r="H14" s="1">
        <v>-2.27</v>
      </c>
      <c r="I14" s="1">
        <v>8.8800000000000008</v>
      </c>
      <c r="J14" s="15">
        <v>223.5</v>
      </c>
      <c r="K14" s="15">
        <v>85.8</v>
      </c>
    </row>
    <row r="15" spans="2:12" x14ac:dyDescent="0.25">
      <c r="B15" s="1">
        <f t="shared" si="1"/>
        <v>3.3000000000000012</v>
      </c>
      <c r="C15">
        <v>4264</v>
      </c>
      <c r="D15" s="16">
        <f t="shared" si="0"/>
        <v>4370.5999999999995</v>
      </c>
      <c r="E15" s="1">
        <v>14.8</v>
      </c>
      <c r="F15" s="1">
        <v>-1.62</v>
      </c>
      <c r="G15" s="1">
        <v>1.75</v>
      </c>
      <c r="H15" s="1">
        <v>-2.25</v>
      </c>
      <c r="I15" s="1">
        <v>8.73</v>
      </c>
      <c r="J15" s="15">
        <v>216.5</v>
      </c>
      <c r="K15" s="15">
        <v>86</v>
      </c>
    </row>
    <row r="16" spans="2:12" x14ac:dyDescent="0.25">
      <c r="B16" s="1">
        <f t="shared" si="1"/>
        <v>3.4000000000000012</v>
      </c>
      <c r="C16">
        <v>4409</v>
      </c>
      <c r="D16" s="16">
        <f t="shared" si="0"/>
        <v>4519.2249999999995</v>
      </c>
      <c r="E16" s="1">
        <v>14.84</v>
      </c>
      <c r="F16" s="1">
        <v>-1.56</v>
      </c>
      <c r="G16" s="1">
        <v>1.8</v>
      </c>
      <c r="H16" s="1">
        <v>-2.23</v>
      </c>
      <c r="I16" s="1">
        <v>8.59</v>
      </c>
      <c r="J16" s="15">
        <v>210.5</v>
      </c>
      <c r="K16" s="15">
        <v>86.5</v>
      </c>
    </row>
    <row r="17" spans="2:11" x14ac:dyDescent="0.25">
      <c r="B17" s="1">
        <f t="shared" si="1"/>
        <v>3.5000000000000013</v>
      </c>
      <c r="C17">
        <v>4553</v>
      </c>
      <c r="D17" s="16">
        <f t="shared" si="0"/>
        <v>4666.8249999999998</v>
      </c>
      <c r="E17" s="1">
        <v>14.88</v>
      </c>
      <c r="F17" s="1">
        <v>-1.5</v>
      </c>
      <c r="G17" s="1">
        <v>1.85</v>
      </c>
      <c r="H17" s="1">
        <v>-2.2000000000000002</v>
      </c>
      <c r="I17" s="1">
        <v>8.4600000000000009</v>
      </c>
      <c r="J17" s="15">
        <v>205.5</v>
      </c>
      <c r="K17" s="15">
        <v>87.2</v>
      </c>
    </row>
    <row r="18" spans="2:11" x14ac:dyDescent="0.25">
      <c r="B18" s="1">
        <f t="shared" si="1"/>
        <v>3.6000000000000014</v>
      </c>
      <c r="C18">
        <v>4699</v>
      </c>
      <c r="D18" s="16">
        <f t="shared" si="0"/>
        <v>4816.4749999999995</v>
      </c>
      <c r="E18" s="1">
        <v>14.92</v>
      </c>
      <c r="F18" s="1">
        <v>-1.44</v>
      </c>
      <c r="G18" s="1">
        <v>1.91</v>
      </c>
      <c r="H18" s="1">
        <v>-2.17</v>
      </c>
      <c r="I18" s="1">
        <v>8.34</v>
      </c>
      <c r="J18" s="15">
        <v>201</v>
      </c>
      <c r="K18" s="15">
        <v>88</v>
      </c>
    </row>
    <row r="19" spans="2:11" x14ac:dyDescent="0.25">
      <c r="B19" s="1">
        <f t="shared" si="1"/>
        <v>3.7000000000000015</v>
      </c>
      <c r="C19">
        <v>4844</v>
      </c>
      <c r="D19" s="16">
        <f t="shared" si="0"/>
        <v>4965.0999999999995</v>
      </c>
      <c r="E19" s="1">
        <v>14.97</v>
      </c>
      <c r="F19" s="1">
        <v>-1.38</v>
      </c>
      <c r="G19" s="1">
        <v>1.96</v>
      </c>
      <c r="H19" s="1">
        <v>-2.14</v>
      </c>
      <c r="I19" s="1">
        <v>8.23</v>
      </c>
      <c r="J19" s="15">
        <v>196.5</v>
      </c>
      <c r="K19" s="15">
        <v>88.7</v>
      </c>
    </row>
    <row r="20" spans="2:11" x14ac:dyDescent="0.25">
      <c r="B20" s="1">
        <f t="shared" si="1"/>
        <v>3.8000000000000016</v>
      </c>
      <c r="C20">
        <v>4990</v>
      </c>
      <c r="D20" s="16">
        <f t="shared" si="0"/>
        <v>5114.75</v>
      </c>
      <c r="E20" s="1">
        <v>15.01</v>
      </c>
      <c r="F20" s="1">
        <v>-1.31</v>
      </c>
      <c r="G20" s="1">
        <v>2.0099999999999998</v>
      </c>
      <c r="H20" s="1">
        <v>-2.11</v>
      </c>
      <c r="I20" s="1">
        <v>8.1199999999999992</v>
      </c>
      <c r="J20" s="15">
        <v>192</v>
      </c>
      <c r="K20" s="15">
        <v>89.3</v>
      </c>
    </row>
    <row r="21" spans="2:11" x14ac:dyDescent="0.25">
      <c r="B21" s="1">
        <f t="shared" si="1"/>
        <v>3.9000000000000017</v>
      </c>
      <c r="C21">
        <v>5137</v>
      </c>
      <c r="D21" s="16">
        <f t="shared" si="0"/>
        <v>5265.4249999999993</v>
      </c>
      <c r="E21" s="1">
        <v>15.05</v>
      </c>
      <c r="F21" s="1">
        <v>-1.24</v>
      </c>
      <c r="G21" s="1">
        <v>2.06</v>
      </c>
      <c r="H21" s="1">
        <v>-2.09</v>
      </c>
      <c r="I21" s="1">
        <v>8.02</v>
      </c>
      <c r="J21" s="15">
        <v>188</v>
      </c>
      <c r="K21" s="15">
        <v>90</v>
      </c>
    </row>
    <row r="22" spans="2:11" x14ac:dyDescent="0.25">
      <c r="B22" s="1">
        <f t="shared" si="1"/>
        <v>4.0000000000000018</v>
      </c>
      <c r="C22">
        <v>5284</v>
      </c>
      <c r="D22" s="16">
        <f t="shared" si="0"/>
        <v>5416.0999999999995</v>
      </c>
      <c r="E22" s="1">
        <v>15.09</v>
      </c>
      <c r="F22" s="1">
        <v>-1.17</v>
      </c>
      <c r="G22" s="1">
        <v>2.12</v>
      </c>
      <c r="H22" s="1">
        <v>-2.06</v>
      </c>
      <c r="I22" s="1">
        <v>7.93</v>
      </c>
      <c r="J22" s="15">
        <v>184</v>
      </c>
      <c r="K22" s="15">
        <v>90.6</v>
      </c>
    </row>
    <row r="23" spans="2:11" x14ac:dyDescent="0.25">
      <c r="B23" s="1">
        <f t="shared" si="1"/>
        <v>4.1000000000000014</v>
      </c>
      <c r="C23">
        <v>5431</v>
      </c>
      <c r="D23" s="16">
        <f t="shared" si="0"/>
        <v>5566.7749999999996</v>
      </c>
      <c r="E23" s="1">
        <v>15.13</v>
      </c>
      <c r="F23" s="1">
        <v>-1.1000000000000001</v>
      </c>
      <c r="G23" s="1">
        <v>2.17</v>
      </c>
      <c r="H23" s="1">
        <v>-2.0299999999999998</v>
      </c>
      <c r="I23" s="1">
        <v>7.84</v>
      </c>
      <c r="J23" s="15">
        <v>180</v>
      </c>
      <c r="K23" s="15">
        <v>91.1</v>
      </c>
    </row>
    <row r="24" spans="2:11" x14ac:dyDescent="0.25">
      <c r="B24" s="1">
        <f t="shared" si="1"/>
        <v>4.2000000000000011</v>
      </c>
      <c r="C24">
        <v>5579</v>
      </c>
      <c r="D24" s="16">
        <f t="shared" si="0"/>
        <v>5718.4749999999995</v>
      </c>
      <c r="E24" s="1">
        <v>15.17</v>
      </c>
      <c r="F24" s="1">
        <v>-1.03</v>
      </c>
      <c r="G24" s="1">
        <v>2.2200000000000002</v>
      </c>
      <c r="H24" s="1">
        <v>-2</v>
      </c>
      <c r="I24" s="1">
        <v>7.76</v>
      </c>
      <c r="J24" s="15">
        <v>176.5</v>
      </c>
      <c r="K24" s="15">
        <v>91.8</v>
      </c>
    </row>
    <row r="25" spans="2:11" x14ac:dyDescent="0.25">
      <c r="B25" s="1">
        <f t="shared" si="1"/>
        <v>4.3000000000000007</v>
      </c>
      <c r="C25">
        <v>5727</v>
      </c>
      <c r="D25" s="16">
        <f t="shared" si="0"/>
        <v>5870.1749999999993</v>
      </c>
      <c r="E25" s="1">
        <v>15.21</v>
      </c>
      <c r="F25" s="1">
        <v>-0.93</v>
      </c>
      <c r="G25" s="1">
        <v>2.27</v>
      </c>
      <c r="H25" s="1">
        <v>-1.97</v>
      </c>
      <c r="I25" s="1">
        <v>7.69</v>
      </c>
      <c r="J25" s="15">
        <v>173.5</v>
      </c>
      <c r="K25" s="15">
        <v>92.6</v>
      </c>
    </row>
    <row r="26" spans="2:11" x14ac:dyDescent="0.25">
      <c r="B26" s="1">
        <f t="shared" si="1"/>
        <v>4.4000000000000004</v>
      </c>
      <c r="C26">
        <v>5875</v>
      </c>
      <c r="D26" s="16">
        <f t="shared" si="0"/>
        <v>6021.8749999999991</v>
      </c>
      <c r="E26" s="1">
        <v>15.25</v>
      </c>
      <c r="F26" s="1">
        <v>-0.84</v>
      </c>
      <c r="G26" s="1">
        <v>2.33</v>
      </c>
      <c r="H26" s="1">
        <v>-1.94</v>
      </c>
      <c r="I26" s="1">
        <v>7.63</v>
      </c>
      <c r="J26" s="15">
        <v>170.5</v>
      </c>
      <c r="K26" s="15">
        <v>93.3</v>
      </c>
    </row>
    <row r="27" spans="2:11" x14ac:dyDescent="0.25">
      <c r="B27" s="1">
        <f t="shared" si="1"/>
        <v>4.5</v>
      </c>
      <c r="C27">
        <v>6024</v>
      </c>
      <c r="D27" s="16">
        <f t="shared" si="0"/>
        <v>6174.5999999999995</v>
      </c>
      <c r="E27" s="1">
        <v>15.29</v>
      </c>
      <c r="F27" s="1">
        <v>-0.74</v>
      </c>
      <c r="G27" s="1">
        <v>2.38</v>
      </c>
      <c r="H27" s="1">
        <v>-1.91</v>
      </c>
      <c r="I27" s="1">
        <v>7.58</v>
      </c>
      <c r="J27" s="15">
        <v>168</v>
      </c>
      <c r="K27" s="15">
        <v>94.3</v>
      </c>
    </row>
    <row r="28" spans="2:11" x14ac:dyDescent="0.25">
      <c r="B28" s="1">
        <f t="shared" si="1"/>
        <v>4.5999999999999996</v>
      </c>
      <c r="C28">
        <v>6174</v>
      </c>
      <c r="D28" s="16">
        <f t="shared" si="0"/>
        <v>6328.3499999999995</v>
      </c>
      <c r="E28" s="1">
        <v>15.33</v>
      </c>
      <c r="F28" s="1">
        <v>-0.65</v>
      </c>
      <c r="G28" s="1">
        <v>2.4300000000000002</v>
      </c>
      <c r="H28" s="1">
        <v>-1.88</v>
      </c>
      <c r="I28" s="1">
        <v>7.54</v>
      </c>
      <c r="J28" s="15">
        <v>165.5</v>
      </c>
      <c r="K28" s="15">
        <v>95.2</v>
      </c>
    </row>
    <row r="29" spans="2:11" x14ac:dyDescent="0.25">
      <c r="B29" s="1">
        <f t="shared" si="1"/>
        <v>4.6999999999999993</v>
      </c>
      <c r="C29">
        <v>6323</v>
      </c>
      <c r="D29" s="16">
        <f t="shared" si="0"/>
        <v>6481.0749999999998</v>
      </c>
      <c r="E29" s="1">
        <v>15.38</v>
      </c>
      <c r="F29" s="1">
        <v>-0.55000000000000004</v>
      </c>
      <c r="G29" s="1">
        <v>2.48</v>
      </c>
      <c r="H29" s="1">
        <v>-1.84</v>
      </c>
      <c r="I29" s="1">
        <v>7.5</v>
      </c>
      <c r="J29" s="15">
        <v>163</v>
      </c>
      <c r="K29" s="15">
        <v>96</v>
      </c>
    </row>
    <row r="30" spans="2:11" x14ac:dyDescent="0.25">
      <c r="B30" s="1">
        <f t="shared" si="1"/>
        <v>4.7999999999999989</v>
      </c>
      <c r="C30">
        <v>6473</v>
      </c>
      <c r="D30" s="16">
        <f t="shared" si="0"/>
        <v>6634.8249999999998</v>
      </c>
      <c r="E30" s="1">
        <v>15.43</v>
      </c>
      <c r="F30" s="1">
        <v>-0.43</v>
      </c>
      <c r="G30" s="1">
        <v>2.54</v>
      </c>
      <c r="H30" s="1">
        <v>-1.81</v>
      </c>
      <c r="I30" s="1">
        <v>7.46</v>
      </c>
      <c r="J30" s="15">
        <v>160.69999999999999</v>
      </c>
      <c r="K30" s="15">
        <v>96.9</v>
      </c>
    </row>
    <row r="31" spans="2:11" x14ac:dyDescent="0.25">
      <c r="B31" s="1">
        <f t="shared" si="1"/>
        <v>4.8999999999999986</v>
      </c>
      <c r="C31">
        <v>6623</v>
      </c>
      <c r="D31" s="16">
        <f t="shared" si="0"/>
        <v>6788.5749999999998</v>
      </c>
      <c r="E31" s="1">
        <v>15.48</v>
      </c>
      <c r="F31" s="1">
        <v>-0.31</v>
      </c>
      <c r="G31" s="1">
        <v>2.59</v>
      </c>
      <c r="H31" s="1">
        <v>-1.78</v>
      </c>
      <c r="I31" s="1">
        <v>7.42</v>
      </c>
      <c r="J31" s="15">
        <v>158.4</v>
      </c>
      <c r="K31" s="15">
        <v>97.8</v>
      </c>
    </row>
    <row r="32" spans="2:11" x14ac:dyDescent="0.25">
      <c r="B32" s="1">
        <f t="shared" si="1"/>
        <v>4.9999999999999982</v>
      </c>
      <c r="C32">
        <v>6775</v>
      </c>
      <c r="D32" s="16">
        <f t="shared" si="0"/>
        <v>6944.3749999999991</v>
      </c>
      <c r="E32" s="1">
        <v>15.53</v>
      </c>
      <c r="F32" s="1">
        <v>-0.19</v>
      </c>
      <c r="G32" s="1">
        <v>2.64</v>
      </c>
      <c r="H32" s="1">
        <v>-1.75</v>
      </c>
      <c r="I32" s="1">
        <v>7.38</v>
      </c>
      <c r="J32" s="15">
        <v>156.1</v>
      </c>
      <c r="K32" s="15">
        <v>98.6</v>
      </c>
    </row>
    <row r="33" spans="2:11" x14ac:dyDescent="0.25">
      <c r="B33" s="1">
        <f t="shared" si="1"/>
        <v>5.0999999999999979</v>
      </c>
      <c r="C33">
        <v>6956</v>
      </c>
      <c r="D33" s="16">
        <f t="shared" si="0"/>
        <v>7129.9</v>
      </c>
      <c r="E33" s="1">
        <v>15.58</v>
      </c>
      <c r="F33" s="1">
        <v>-7.0000000000000007E-2</v>
      </c>
      <c r="G33" s="1">
        <v>2.69</v>
      </c>
      <c r="H33" s="1">
        <v>-1.72</v>
      </c>
      <c r="I33" s="1">
        <v>7.35</v>
      </c>
      <c r="J33" s="15">
        <v>154.1</v>
      </c>
      <c r="K33" s="15">
        <v>99.5</v>
      </c>
    </row>
    <row r="34" spans="2:11" x14ac:dyDescent="0.25">
      <c r="B34" s="1">
        <f t="shared" si="1"/>
        <v>5.1999999999999975</v>
      </c>
      <c r="C34">
        <v>7078</v>
      </c>
      <c r="D34" s="16">
        <f t="shared" si="0"/>
        <v>7254.95</v>
      </c>
      <c r="E34" s="1">
        <v>15.63</v>
      </c>
      <c r="F34" s="1">
        <v>0.05</v>
      </c>
      <c r="G34" s="1">
        <v>2.75</v>
      </c>
      <c r="H34" s="1">
        <v>-1.69</v>
      </c>
      <c r="I34" s="1">
        <v>7.32</v>
      </c>
      <c r="J34" s="15">
        <v>152.1</v>
      </c>
      <c r="K34" s="15">
        <v>100.3</v>
      </c>
    </row>
    <row r="35" spans="2:11" x14ac:dyDescent="0.25">
      <c r="B35" s="1">
        <f t="shared" si="1"/>
        <v>5.2999999999999972</v>
      </c>
      <c r="C35">
        <v>7230</v>
      </c>
      <c r="D35" s="16">
        <f t="shared" si="0"/>
        <v>7410.7499999999991</v>
      </c>
      <c r="E35" s="1">
        <v>15.68</v>
      </c>
      <c r="F35" s="1">
        <v>0.17</v>
      </c>
      <c r="G35" s="1">
        <v>2.8</v>
      </c>
      <c r="H35" s="1">
        <v>-1.66</v>
      </c>
      <c r="I35" s="1">
        <v>7.29</v>
      </c>
      <c r="J35" s="15">
        <v>150.30000000000001</v>
      </c>
      <c r="K35" s="15">
        <v>101.3</v>
      </c>
    </row>
    <row r="36" spans="2:11" x14ac:dyDescent="0.25">
      <c r="B36" s="1">
        <f t="shared" si="1"/>
        <v>5.3999999999999968</v>
      </c>
      <c r="C36">
        <v>7383</v>
      </c>
      <c r="D36" s="16">
        <f t="shared" si="0"/>
        <v>7567.5749999999989</v>
      </c>
      <c r="E36" s="1">
        <v>15.73</v>
      </c>
      <c r="F36" s="1">
        <v>0.28999999999999998</v>
      </c>
      <c r="G36" s="1">
        <v>2.85</v>
      </c>
      <c r="H36" s="1">
        <v>-1.62</v>
      </c>
      <c r="I36" s="1">
        <v>7.26</v>
      </c>
      <c r="J36" s="15">
        <v>148.5</v>
      </c>
      <c r="K36" s="15">
        <v>102.2</v>
      </c>
    </row>
    <row r="37" spans="2:11" x14ac:dyDescent="0.25">
      <c r="B37" s="1">
        <f t="shared" si="1"/>
        <v>5.4999999999999964</v>
      </c>
      <c r="C37">
        <v>7537</v>
      </c>
      <c r="D37" s="16">
        <f t="shared" si="0"/>
        <v>7725.4249999999993</v>
      </c>
      <c r="E37" s="1">
        <v>15.79</v>
      </c>
      <c r="F37" s="1">
        <v>0.41</v>
      </c>
      <c r="G37" s="1">
        <v>2.9</v>
      </c>
      <c r="H37" s="1">
        <v>-1.58</v>
      </c>
      <c r="I37" s="1">
        <v>7.24</v>
      </c>
      <c r="J37" s="15">
        <v>146.9</v>
      </c>
      <c r="K37" s="15">
        <v>103.2</v>
      </c>
    </row>
    <row r="38" spans="2:11" x14ac:dyDescent="0.25">
      <c r="B38" s="1">
        <f t="shared" si="1"/>
        <v>5.5999999999999961</v>
      </c>
      <c r="C38">
        <v>7691</v>
      </c>
      <c r="D38" s="16">
        <f t="shared" si="0"/>
        <v>7883.2749999999996</v>
      </c>
      <c r="E38" s="1">
        <v>15.84</v>
      </c>
      <c r="F38" s="1">
        <v>0.53</v>
      </c>
      <c r="G38" s="1">
        <v>2.96</v>
      </c>
      <c r="H38" s="1">
        <v>-1.55</v>
      </c>
      <c r="I38" s="1">
        <v>7.22</v>
      </c>
      <c r="J38" s="15">
        <v>145.30000000000001</v>
      </c>
      <c r="K38" s="15">
        <v>104.1</v>
      </c>
    </row>
    <row r="39" spans="2:11" x14ac:dyDescent="0.25">
      <c r="B39" s="1">
        <f t="shared" si="1"/>
        <v>5.6999999999999957</v>
      </c>
      <c r="C39">
        <v>7845</v>
      </c>
      <c r="D39" s="16">
        <f t="shared" si="0"/>
        <v>8041.1249999999991</v>
      </c>
      <c r="E39" s="1">
        <v>15.89</v>
      </c>
      <c r="F39" s="1">
        <v>0.65</v>
      </c>
      <c r="G39" s="1">
        <v>3.01</v>
      </c>
      <c r="H39" s="1">
        <v>-1.51</v>
      </c>
      <c r="I39" s="1">
        <v>7.2</v>
      </c>
      <c r="J39" s="15">
        <v>143.80000000000001</v>
      </c>
      <c r="K39" s="15">
        <v>105.1</v>
      </c>
    </row>
    <row r="40" spans="2:11" x14ac:dyDescent="0.25">
      <c r="B40" s="1">
        <f t="shared" si="1"/>
        <v>5.7999999999999954</v>
      </c>
      <c r="C40">
        <v>8000</v>
      </c>
      <c r="D40" s="16">
        <f t="shared" si="0"/>
        <v>8200</v>
      </c>
      <c r="E40" s="1">
        <v>15.94</v>
      </c>
      <c r="F40" s="1">
        <v>0.76</v>
      </c>
      <c r="G40" s="1">
        <v>3.06</v>
      </c>
      <c r="H40" s="1">
        <v>-1.47</v>
      </c>
      <c r="I40" s="1">
        <v>7.19</v>
      </c>
      <c r="J40" s="15">
        <v>142.30000000000001</v>
      </c>
      <c r="K40" s="15">
        <v>106.1</v>
      </c>
    </row>
    <row r="41" spans="2:11" x14ac:dyDescent="0.25">
      <c r="B41" s="1">
        <f t="shared" si="1"/>
        <v>5.899999999999995</v>
      </c>
      <c r="C41">
        <v>8155</v>
      </c>
      <c r="D41" s="16">
        <f t="shared" si="0"/>
        <v>8358.875</v>
      </c>
      <c r="E41" s="1">
        <v>15.99</v>
      </c>
      <c r="F41" s="1">
        <v>0.87</v>
      </c>
      <c r="G41" s="1">
        <v>3.11</v>
      </c>
      <c r="H41" s="1">
        <v>-1.43</v>
      </c>
      <c r="I41" s="1">
        <v>7.18</v>
      </c>
      <c r="J41" s="15">
        <v>140.80000000000001</v>
      </c>
      <c r="K41" s="15">
        <v>107</v>
      </c>
    </row>
    <row r="42" spans="2:11" x14ac:dyDescent="0.25">
      <c r="B42" s="1">
        <f t="shared" si="1"/>
        <v>5.9999999999999947</v>
      </c>
      <c r="C42">
        <v>8311</v>
      </c>
      <c r="D42" s="16">
        <f t="shared" si="0"/>
        <v>8518.7749999999996</v>
      </c>
      <c r="E42" s="1">
        <v>16.04</v>
      </c>
      <c r="F42" s="1">
        <v>0.97</v>
      </c>
      <c r="G42" s="1">
        <v>3.17</v>
      </c>
      <c r="H42" s="1">
        <v>-1.39</v>
      </c>
      <c r="I42" s="1">
        <v>7.17</v>
      </c>
      <c r="J42" s="15">
        <v>139.30000000000001</v>
      </c>
      <c r="K42" s="15">
        <v>107.9</v>
      </c>
    </row>
    <row r="43" spans="2:11" x14ac:dyDescent="0.25">
      <c r="B43" s="1">
        <f t="shared" si="1"/>
        <v>6.0999999999999943</v>
      </c>
      <c r="C43">
        <v>8467</v>
      </c>
      <c r="D43" s="16">
        <f t="shared" si="0"/>
        <v>8678.6749999999993</v>
      </c>
      <c r="E43" s="1">
        <v>16.09</v>
      </c>
      <c r="F43" s="1">
        <v>1.08</v>
      </c>
      <c r="G43" s="1">
        <v>3.22</v>
      </c>
      <c r="H43" s="1">
        <v>-1.36</v>
      </c>
      <c r="I43" s="1">
        <v>7.16</v>
      </c>
      <c r="J43" s="15">
        <v>137.80000000000001</v>
      </c>
      <c r="K43" s="15">
        <v>108.7</v>
      </c>
    </row>
    <row r="44" spans="2:11" x14ac:dyDescent="0.25">
      <c r="B44" s="1">
        <f t="shared" si="1"/>
        <v>6.199999999999994</v>
      </c>
      <c r="C44">
        <v>8624</v>
      </c>
      <c r="D44" s="16">
        <f t="shared" si="0"/>
        <v>8839.5999999999985</v>
      </c>
      <c r="E44" s="1">
        <v>16.14</v>
      </c>
      <c r="F44" s="1">
        <v>1.19</v>
      </c>
      <c r="G44" s="1">
        <v>3.27</v>
      </c>
      <c r="H44" s="1">
        <v>-1.32</v>
      </c>
      <c r="I44" s="1">
        <v>7.15</v>
      </c>
      <c r="J44" s="15">
        <v>136.30000000000001</v>
      </c>
      <c r="K44" s="15">
        <v>109.6</v>
      </c>
    </row>
  </sheetData>
  <sheetProtection algorithmName="SHA-512" hashValue="pgE6SL5ayYChe2kMnT3DlIm//qWzxBwFNjZn5HMbsvMNJPOmvT0m4BFItNvSCSvhfQb2iDL+LAZ6aK2OQC9egQ==" saltValue="ltxmQsCtDVGivwE3BLkK6g==" spinCount="100000" sheet="1" objects="1" scenarios="1" selectLockedCells="1"/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"/>
  <sheetViews>
    <sheetView topLeftCell="A58" workbookViewId="0">
      <selection activeCell="O11" sqref="O11"/>
    </sheetView>
  </sheetViews>
  <sheetFormatPr baseColWidth="10" defaultRowHeight="15" x14ac:dyDescent="0.25"/>
  <cols>
    <col min="1" max="1" width="11.85546875" bestFit="1" customWidth="1"/>
    <col min="2" max="2" width="7.28515625" bestFit="1" customWidth="1"/>
    <col min="3" max="3" width="10.85546875" bestFit="1" customWidth="1"/>
    <col min="4" max="4" width="10.140625" customWidth="1"/>
    <col min="5" max="5" width="13.7109375" bestFit="1" customWidth="1"/>
    <col min="6" max="6" width="9.42578125" bestFit="1" customWidth="1"/>
    <col min="8" max="8" width="9.140625" customWidth="1"/>
    <col min="9" max="9" width="10.42578125" customWidth="1"/>
    <col min="11" max="11" width="9.5703125" customWidth="1"/>
    <col min="12" max="12" width="7.7109375" bestFit="1" customWidth="1"/>
    <col min="13" max="13" width="4.140625" customWidth="1"/>
    <col min="14" max="14" width="4" bestFit="1" customWidth="1"/>
    <col min="15" max="15" width="10.140625" customWidth="1"/>
    <col min="16" max="18" width="8.5703125" bestFit="1" customWidth="1"/>
    <col min="19" max="19" width="14.28515625" bestFit="1" customWidth="1"/>
    <col min="20" max="20" width="11" bestFit="1" customWidth="1"/>
    <col min="21" max="21" width="11.140625" customWidth="1"/>
    <col min="22" max="23" width="8.5703125" bestFit="1" customWidth="1"/>
  </cols>
  <sheetData>
    <row r="1" spans="1:23" x14ac:dyDescent="0.25">
      <c r="C1" t="s">
        <v>0</v>
      </c>
      <c r="D1">
        <v>0.97</v>
      </c>
      <c r="O1" t="s">
        <v>0</v>
      </c>
      <c r="P1">
        <v>0.97</v>
      </c>
    </row>
    <row r="3" spans="1:23" x14ac:dyDescent="0.25">
      <c r="A3" s="106" t="s">
        <v>6</v>
      </c>
      <c r="B3">
        <v>100</v>
      </c>
      <c r="C3">
        <v>5937</v>
      </c>
      <c r="G3" s="106" t="s">
        <v>16</v>
      </c>
      <c r="H3">
        <v>100</v>
      </c>
      <c r="I3">
        <v>5909</v>
      </c>
      <c r="L3" s="106" t="s">
        <v>6</v>
      </c>
      <c r="N3">
        <v>100</v>
      </c>
      <c r="O3">
        <v>5937</v>
      </c>
      <c r="S3" s="106" t="s">
        <v>16</v>
      </c>
      <c r="T3">
        <v>100</v>
      </c>
      <c r="U3" s="1">
        <v>5909</v>
      </c>
    </row>
    <row r="4" spans="1:23" x14ac:dyDescent="0.25">
      <c r="A4" s="106"/>
      <c r="B4">
        <v>98</v>
      </c>
      <c r="C4">
        <f>C3*B4%</f>
        <v>5818.26</v>
      </c>
      <c r="E4">
        <f>C3*85%</f>
        <v>5046.45</v>
      </c>
      <c r="G4" s="106"/>
      <c r="H4">
        <v>98</v>
      </c>
      <c r="I4">
        <f>I3*H4%</f>
        <v>5790.82</v>
      </c>
      <c r="K4">
        <f>I3*85%</f>
        <v>5022.6499999999996</v>
      </c>
      <c r="L4" s="106"/>
      <c r="N4">
        <v>98</v>
      </c>
      <c r="O4">
        <f>O3*N4%</f>
        <v>5818.26</v>
      </c>
      <c r="Q4">
        <f>O3*85%</f>
        <v>5046.45</v>
      </c>
      <c r="S4" s="106"/>
      <c r="T4">
        <v>98</v>
      </c>
      <c r="U4">
        <f>U3*T4%</f>
        <v>5790.82</v>
      </c>
      <c r="W4">
        <f>U3*85%</f>
        <v>5022.6499999999996</v>
      </c>
    </row>
    <row r="5" spans="1:23" x14ac:dyDescent="0.25">
      <c r="A5" s="106"/>
      <c r="B5" s="4">
        <v>50</v>
      </c>
      <c r="C5" s="1">
        <f>C3*B5%</f>
        <v>2968.5</v>
      </c>
      <c r="D5" s="1">
        <f>C5*$D$1</f>
        <v>2879.4449999999997</v>
      </c>
      <c r="G5" s="106"/>
      <c r="H5" s="4">
        <v>50</v>
      </c>
      <c r="I5" s="1">
        <f>I3*H5%</f>
        <v>2954.5</v>
      </c>
      <c r="J5" s="1">
        <f>I5*$D$1</f>
        <v>2865.8649999999998</v>
      </c>
      <c r="L5" s="106"/>
      <c r="N5">
        <v>98</v>
      </c>
      <c r="O5" s="1">
        <f>O3*N5%</f>
        <v>5818.26</v>
      </c>
      <c r="P5" s="1">
        <f>O5*$D$1</f>
        <v>5643.7121999999999</v>
      </c>
      <c r="S5" s="106"/>
      <c r="T5">
        <v>98</v>
      </c>
      <c r="U5" s="1">
        <f>U3*T5%</f>
        <v>5790.82</v>
      </c>
      <c r="V5" s="1">
        <f>U5*$D$1</f>
        <v>5617.0953999999992</v>
      </c>
    </row>
    <row r="6" spans="1:23" x14ac:dyDescent="0.25">
      <c r="A6" s="106" t="s">
        <v>10</v>
      </c>
      <c r="B6">
        <v>100</v>
      </c>
      <c r="C6">
        <v>7693</v>
      </c>
      <c r="D6" s="1"/>
      <c r="G6" s="106" t="s">
        <v>17</v>
      </c>
      <c r="H6">
        <v>100</v>
      </c>
      <c r="I6">
        <v>7678</v>
      </c>
      <c r="J6" s="1"/>
      <c r="L6" s="106" t="s">
        <v>10</v>
      </c>
      <c r="N6">
        <v>100</v>
      </c>
      <c r="O6">
        <v>7693</v>
      </c>
      <c r="P6" s="1"/>
      <c r="S6" s="106" t="s">
        <v>17</v>
      </c>
      <c r="T6">
        <v>100</v>
      </c>
      <c r="U6" s="1">
        <v>7678</v>
      </c>
      <c r="V6" s="1"/>
    </row>
    <row r="7" spans="1:23" x14ac:dyDescent="0.25">
      <c r="A7" s="106"/>
      <c r="B7">
        <v>98</v>
      </c>
      <c r="C7">
        <f>C6*B7%</f>
        <v>7539.1399999999994</v>
      </c>
      <c r="E7">
        <f>C6*85%</f>
        <v>6539.05</v>
      </c>
      <c r="G7" s="106"/>
      <c r="H7">
        <v>98</v>
      </c>
      <c r="I7">
        <f>I6*H7%</f>
        <v>7524.44</v>
      </c>
      <c r="K7">
        <f>I6*85%</f>
        <v>6526.3</v>
      </c>
      <c r="L7" s="106"/>
      <c r="N7">
        <v>98</v>
      </c>
      <c r="O7">
        <f>O6*N7%</f>
        <v>7539.1399999999994</v>
      </c>
      <c r="Q7">
        <f>O6*85%</f>
        <v>6539.05</v>
      </c>
      <c r="S7" s="106"/>
      <c r="T7">
        <v>98</v>
      </c>
      <c r="U7">
        <f>U6*T7%</f>
        <v>7524.44</v>
      </c>
      <c r="W7">
        <f>U6*85%</f>
        <v>6526.3</v>
      </c>
    </row>
    <row r="8" spans="1:23" x14ac:dyDescent="0.25">
      <c r="A8" s="106"/>
      <c r="B8" s="4">
        <v>50</v>
      </c>
      <c r="C8" s="1">
        <f>C6*B8%</f>
        <v>3846.5</v>
      </c>
      <c r="D8" s="1">
        <f>C8*$D$1</f>
        <v>3731.105</v>
      </c>
      <c r="G8" s="106"/>
      <c r="H8" s="4">
        <v>50</v>
      </c>
      <c r="I8" s="1">
        <f>I6*H8%</f>
        <v>3839</v>
      </c>
      <c r="J8" s="1">
        <f>I8*$D$1</f>
        <v>3723.83</v>
      </c>
      <c r="L8" s="106"/>
      <c r="N8">
        <v>98</v>
      </c>
      <c r="O8" s="1">
        <f>O6*N8%</f>
        <v>7539.1399999999994</v>
      </c>
      <c r="P8" s="1">
        <f>O8*$D$1</f>
        <v>7312.965799999999</v>
      </c>
      <c r="S8" s="106"/>
      <c r="T8">
        <v>98</v>
      </c>
      <c r="U8" s="1">
        <f>U6*T8%</f>
        <v>7524.44</v>
      </c>
      <c r="V8" s="1">
        <f>U8*$D$1</f>
        <v>7298.706799999999</v>
      </c>
    </row>
    <row r="9" spans="1:23" x14ac:dyDescent="0.25">
      <c r="A9" s="106" t="s">
        <v>11</v>
      </c>
      <c r="B9">
        <v>100</v>
      </c>
      <c r="C9">
        <v>7752</v>
      </c>
      <c r="D9" s="1"/>
      <c r="G9" s="106" t="s">
        <v>18</v>
      </c>
      <c r="H9">
        <v>100</v>
      </c>
      <c r="I9">
        <v>7739</v>
      </c>
      <c r="J9" s="1"/>
      <c r="L9" s="106" t="s">
        <v>11</v>
      </c>
      <c r="N9">
        <v>100</v>
      </c>
      <c r="O9">
        <v>7752</v>
      </c>
      <c r="P9" s="1"/>
      <c r="S9" s="106" t="s">
        <v>18</v>
      </c>
      <c r="T9">
        <v>100</v>
      </c>
      <c r="U9" s="1">
        <v>7739</v>
      </c>
      <c r="V9" s="1"/>
    </row>
    <row r="10" spans="1:23" x14ac:dyDescent="0.25">
      <c r="A10" s="106"/>
      <c r="B10">
        <v>98</v>
      </c>
      <c r="C10">
        <f>C9*B10%</f>
        <v>7596.96</v>
      </c>
      <c r="E10">
        <f>C9*85%</f>
        <v>6589.2</v>
      </c>
      <c r="G10" s="106"/>
      <c r="H10">
        <v>98</v>
      </c>
      <c r="I10">
        <f>I9*H10%</f>
        <v>7584.22</v>
      </c>
      <c r="K10">
        <f>I9*85%</f>
        <v>6578.15</v>
      </c>
      <c r="L10" s="106"/>
      <c r="N10">
        <v>98</v>
      </c>
      <c r="O10">
        <f>O9*N10%</f>
        <v>7596.96</v>
      </c>
      <c r="Q10">
        <f>O9*85%</f>
        <v>6589.2</v>
      </c>
      <c r="S10" s="106"/>
      <c r="T10">
        <v>98</v>
      </c>
      <c r="U10">
        <f>U9*T10%</f>
        <v>7584.22</v>
      </c>
      <c r="W10">
        <f>U9*85%</f>
        <v>6578.15</v>
      </c>
    </row>
    <row r="11" spans="1:23" x14ac:dyDescent="0.25">
      <c r="A11" s="106"/>
      <c r="B11" s="4">
        <v>50</v>
      </c>
      <c r="C11" s="1">
        <f>C9*B11%</f>
        <v>3876</v>
      </c>
      <c r="D11" s="1">
        <f>C11*$D$1</f>
        <v>3759.72</v>
      </c>
      <c r="G11" s="106"/>
      <c r="H11" s="4">
        <v>50</v>
      </c>
      <c r="I11" s="1">
        <f>I9*H11%</f>
        <v>3869.5</v>
      </c>
      <c r="J11" s="1">
        <f>I11*$D$1</f>
        <v>3753.415</v>
      </c>
      <c r="L11" s="106"/>
      <c r="N11">
        <v>98</v>
      </c>
      <c r="O11" s="1">
        <f>O9*N11%</f>
        <v>7596.96</v>
      </c>
      <c r="P11" s="1">
        <f>O11*$D$1</f>
        <v>7369.0511999999999</v>
      </c>
      <c r="S11" s="106"/>
      <c r="T11">
        <v>98</v>
      </c>
      <c r="U11" s="1">
        <f>U9*T11%</f>
        <v>7584.22</v>
      </c>
      <c r="V11" s="1">
        <f>U11*$D$1</f>
        <v>7356.6934000000001</v>
      </c>
    </row>
    <row r="12" spans="1:23" x14ac:dyDescent="0.25">
      <c r="A12" s="106" t="s">
        <v>12</v>
      </c>
      <c r="B12">
        <v>100</v>
      </c>
      <c r="C12">
        <v>7752</v>
      </c>
      <c r="D12" s="1"/>
      <c r="G12" s="106" t="s">
        <v>19</v>
      </c>
      <c r="H12">
        <v>100</v>
      </c>
      <c r="I12">
        <v>7739</v>
      </c>
      <c r="J12" s="1"/>
      <c r="L12" s="106" t="s">
        <v>12</v>
      </c>
      <c r="N12">
        <v>100</v>
      </c>
      <c r="O12">
        <v>7752</v>
      </c>
      <c r="P12" s="1"/>
      <c r="S12" s="106" t="s">
        <v>19</v>
      </c>
      <c r="T12">
        <v>100</v>
      </c>
      <c r="U12" s="1">
        <v>7739</v>
      </c>
      <c r="V12" s="1"/>
    </row>
    <row r="13" spans="1:23" x14ac:dyDescent="0.25">
      <c r="A13" s="106"/>
      <c r="B13">
        <v>98</v>
      </c>
      <c r="C13">
        <f>C12*B13%</f>
        <v>7596.96</v>
      </c>
      <c r="E13">
        <f>C12*85%</f>
        <v>6589.2</v>
      </c>
      <c r="G13" s="106"/>
      <c r="H13">
        <v>98</v>
      </c>
      <c r="I13">
        <f>I12*H13%</f>
        <v>7584.22</v>
      </c>
      <c r="K13">
        <f>I12*85%</f>
        <v>6578.15</v>
      </c>
      <c r="L13" s="106"/>
      <c r="N13">
        <v>98</v>
      </c>
      <c r="O13">
        <f>O12*N13%</f>
        <v>7596.96</v>
      </c>
      <c r="Q13">
        <f>O12*85%</f>
        <v>6589.2</v>
      </c>
      <c r="S13" s="106"/>
      <c r="T13">
        <v>98</v>
      </c>
      <c r="U13">
        <f>U12*T13%</f>
        <v>7584.22</v>
      </c>
      <c r="W13">
        <f>U12*85%</f>
        <v>6578.15</v>
      </c>
    </row>
    <row r="14" spans="1:23" x14ac:dyDescent="0.25">
      <c r="A14" s="106"/>
      <c r="B14" s="4">
        <v>50</v>
      </c>
      <c r="C14" s="1">
        <f>C12*B14%</f>
        <v>3876</v>
      </c>
      <c r="D14" s="1">
        <f>C14*$D$1</f>
        <v>3759.72</v>
      </c>
      <c r="G14" s="106"/>
      <c r="H14" s="4">
        <v>50</v>
      </c>
      <c r="I14" s="1">
        <f>I12*H14%</f>
        <v>3869.5</v>
      </c>
      <c r="J14" s="1">
        <f>I14*$D$1</f>
        <v>3753.415</v>
      </c>
      <c r="L14" s="106"/>
      <c r="N14">
        <v>98</v>
      </c>
      <c r="O14" s="1">
        <f>O12*N14%</f>
        <v>7596.96</v>
      </c>
      <c r="P14" s="1">
        <f>O14*$D$1</f>
        <v>7369.0511999999999</v>
      </c>
      <c r="S14" s="106"/>
      <c r="T14">
        <v>98</v>
      </c>
      <c r="U14" s="1">
        <f>U12*T14%</f>
        <v>7584.22</v>
      </c>
      <c r="V14" s="1">
        <f>U14*$D$1</f>
        <v>7356.6934000000001</v>
      </c>
    </row>
    <row r="15" spans="1:23" x14ac:dyDescent="0.25">
      <c r="A15" s="106" t="s">
        <v>13</v>
      </c>
      <c r="B15">
        <v>100</v>
      </c>
      <c r="C15">
        <v>7752</v>
      </c>
      <c r="D15" s="1"/>
      <c r="G15" s="106" t="s">
        <v>20</v>
      </c>
      <c r="H15">
        <v>100</v>
      </c>
      <c r="I15">
        <v>7739</v>
      </c>
      <c r="J15" s="1"/>
      <c r="L15" s="106" t="s">
        <v>13</v>
      </c>
      <c r="N15">
        <v>100</v>
      </c>
      <c r="O15">
        <v>7752</v>
      </c>
      <c r="P15" s="1"/>
      <c r="S15" s="106" t="s">
        <v>20</v>
      </c>
      <c r="T15">
        <v>100</v>
      </c>
      <c r="U15" s="1">
        <v>7739</v>
      </c>
      <c r="V15" s="1"/>
    </row>
    <row r="16" spans="1:23" x14ac:dyDescent="0.25">
      <c r="A16" s="106"/>
      <c r="B16">
        <v>98</v>
      </c>
      <c r="C16">
        <f>C15*B16%</f>
        <v>7596.96</v>
      </c>
      <c r="E16">
        <f>C15*85%</f>
        <v>6589.2</v>
      </c>
      <c r="G16" s="106"/>
      <c r="H16">
        <v>98</v>
      </c>
      <c r="I16">
        <f>I15*H16%</f>
        <v>7584.22</v>
      </c>
      <c r="K16">
        <f>I15*85%</f>
        <v>6578.15</v>
      </c>
      <c r="L16" s="106"/>
      <c r="N16">
        <v>98</v>
      </c>
      <c r="O16">
        <f>O15*N16%</f>
        <v>7596.96</v>
      </c>
      <c r="Q16">
        <f>O15*85%</f>
        <v>6589.2</v>
      </c>
      <c r="S16" s="106"/>
      <c r="T16">
        <v>98</v>
      </c>
      <c r="U16">
        <f>U15*T16%</f>
        <v>7584.22</v>
      </c>
      <c r="W16">
        <f>U15*85%</f>
        <v>6578.15</v>
      </c>
    </row>
    <row r="17" spans="1:23" x14ac:dyDescent="0.25">
      <c r="A17" s="106"/>
      <c r="B17" s="4">
        <v>50</v>
      </c>
      <c r="C17" s="1">
        <f>C15*B17%</f>
        <v>3876</v>
      </c>
      <c r="D17" s="1">
        <f>C17*$D$1</f>
        <v>3759.72</v>
      </c>
      <c r="G17" s="106"/>
      <c r="H17" s="4">
        <v>50</v>
      </c>
      <c r="I17" s="1">
        <f>I15*H17%</f>
        <v>3869.5</v>
      </c>
      <c r="J17" s="1">
        <f>I17*$D$1</f>
        <v>3753.415</v>
      </c>
      <c r="L17" s="106"/>
      <c r="N17">
        <v>98</v>
      </c>
      <c r="O17" s="1">
        <f>O15*N17%</f>
        <v>7596.96</v>
      </c>
      <c r="P17" s="1">
        <f>O17*$D$1</f>
        <v>7369.0511999999999</v>
      </c>
      <c r="S17" s="106"/>
      <c r="T17">
        <v>98</v>
      </c>
      <c r="U17" s="1">
        <f>U15*T17%</f>
        <v>7584.22</v>
      </c>
      <c r="V17" s="1">
        <f>U17*$D$1</f>
        <v>7356.6934000000001</v>
      </c>
    </row>
    <row r="18" spans="1:23" x14ac:dyDescent="0.25">
      <c r="A18" s="106" t="s">
        <v>14</v>
      </c>
      <c r="B18">
        <v>100</v>
      </c>
      <c r="C18">
        <v>7431</v>
      </c>
      <c r="D18" s="1"/>
      <c r="G18" s="106" t="s">
        <v>21</v>
      </c>
      <c r="H18">
        <v>100</v>
      </c>
      <c r="I18">
        <v>7432</v>
      </c>
      <c r="J18" s="1"/>
      <c r="L18" s="106" t="s">
        <v>14</v>
      </c>
      <c r="N18">
        <v>100</v>
      </c>
      <c r="O18">
        <v>7431</v>
      </c>
      <c r="P18" s="1"/>
      <c r="S18" s="106" t="s">
        <v>21</v>
      </c>
      <c r="T18">
        <v>100</v>
      </c>
      <c r="U18" s="1">
        <v>7432</v>
      </c>
      <c r="V18" s="1"/>
    </row>
    <row r="19" spans="1:23" x14ac:dyDescent="0.25">
      <c r="A19" s="106"/>
      <c r="B19">
        <v>98</v>
      </c>
      <c r="C19">
        <f>C18*B19%</f>
        <v>7282.38</v>
      </c>
      <c r="E19">
        <f>C18*85%</f>
        <v>6316.3499999999995</v>
      </c>
      <c r="G19" s="106"/>
      <c r="H19">
        <v>98</v>
      </c>
      <c r="I19">
        <f>I18*H19%</f>
        <v>7283.36</v>
      </c>
      <c r="K19">
        <f>I18*85%</f>
        <v>6317.2</v>
      </c>
      <c r="L19" s="106"/>
      <c r="N19">
        <v>98</v>
      </c>
      <c r="O19">
        <f>O18*N19%</f>
        <v>7282.38</v>
      </c>
      <c r="Q19">
        <f>O18*85%</f>
        <v>6316.3499999999995</v>
      </c>
      <c r="S19" s="106"/>
      <c r="T19">
        <v>98</v>
      </c>
      <c r="U19">
        <f>U18*T19%</f>
        <v>7283.36</v>
      </c>
      <c r="W19">
        <f>U18*85%</f>
        <v>6317.2</v>
      </c>
    </row>
    <row r="20" spans="1:23" x14ac:dyDescent="0.25">
      <c r="A20" s="106"/>
      <c r="B20" s="4">
        <v>50</v>
      </c>
      <c r="C20" s="1">
        <f>C18*B20%</f>
        <v>3715.5</v>
      </c>
      <c r="D20" s="1">
        <f>C20*$D$1</f>
        <v>3604.0349999999999</v>
      </c>
      <c r="G20" s="106"/>
      <c r="H20" s="4">
        <v>50</v>
      </c>
      <c r="I20" s="1">
        <f>I18*H20%</f>
        <v>3716</v>
      </c>
      <c r="J20" s="1">
        <f>I20*$D$1</f>
        <v>3604.52</v>
      </c>
      <c r="L20" s="106"/>
      <c r="N20">
        <v>98</v>
      </c>
      <c r="O20" s="1">
        <f>O18*N20%</f>
        <v>7282.38</v>
      </c>
      <c r="P20" s="1">
        <f>O20*$D$1</f>
        <v>7063.9085999999998</v>
      </c>
      <c r="S20" s="106"/>
      <c r="T20">
        <v>98</v>
      </c>
      <c r="U20" s="1">
        <f>U18*T20%</f>
        <v>7283.36</v>
      </c>
      <c r="V20" s="1">
        <f>U20*$D$1</f>
        <v>7064.8591999999999</v>
      </c>
    </row>
    <row r="21" spans="1:23" x14ac:dyDescent="0.25">
      <c r="A21" s="106" t="s">
        <v>15</v>
      </c>
      <c r="B21">
        <v>100</v>
      </c>
      <c r="C21">
        <v>943</v>
      </c>
      <c r="D21" s="1"/>
      <c r="G21" s="106" t="s">
        <v>22</v>
      </c>
      <c r="H21">
        <v>100</v>
      </c>
      <c r="I21">
        <v>943</v>
      </c>
      <c r="J21" s="1"/>
      <c r="L21" s="106" t="s">
        <v>15</v>
      </c>
      <c r="N21">
        <v>100</v>
      </c>
      <c r="O21">
        <v>943</v>
      </c>
      <c r="P21" s="1"/>
      <c r="S21" s="106" t="s">
        <v>22</v>
      </c>
      <c r="T21">
        <v>100</v>
      </c>
      <c r="U21" s="1">
        <v>943</v>
      </c>
      <c r="V21" s="1"/>
    </row>
    <row r="22" spans="1:23" x14ac:dyDescent="0.25">
      <c r="A22" s="106"/>
      <c r="B22">
        <v>98</v>
      </c>
      <c r="C22">
        <f>C21*B22%</f>
        <v>924.14</v>
      </c>
      <c r="E22">
        <f>C21*85%</f>
        <v>801.55</v>
      </c>
      <c r="G22" s="106"/>
      <c r="H22">
        <v>98</v>
      </c>
      <c r="I22">
        <f>I21*H22%</f>
        <v>924.14</v>
      </c>
      <c r="K22">
        <f>I21*85%</f>
        <v>801.55</v>
      </c>
      <c r="L22" s="106"/>
      <c r="N22">
        <v>98</v>
      </c>
      <c r="O22">
        <f>O21*N22%</f>
        <v>924.14</v>
      </c>
      <c r="Q22">
        <f>O21*85%</f>
        <v>801.55</v>
      </c>
      <c r="S22" s="106"/>
      <c r="T22">
        <v>98</v>
      </c>
      <c r="U22">
        <f>U21*T22%</f>
        <v>924.14</v>
      </c>
      <c r="W22">
        <f>U21*85%</f>
        <v>801.55</v>
      </c>
    </row>
    <row r="23" spans="1:23" x14ac:dyDescent="0.25">
      <c r="A23" s="106"/>
      <c r="B23" s="4">
        <v>50</v>
      </c>
      <c r="C23" s="1">
        <f>C21*B23%</f>
        <v>471.5</v>
      </c>
      <c r="D23" s="1">
        <f>C23*$D$1</f>
        <v>457.35499999999996</v>
      </c>
      <c r="G23" s="106"/>
      <c r="H23" s="4">
        <v>50</v>
      </c>
      <c r="I23" s="1">
        <f>I21*H23%</f>
        <v>471.5</v>
      </c>
      <c r="J23" s="1">
        <f>I23*$D$1</f>
        <v>457.35499999999996</v>
      </c>
      <c r="L23" s="106"/>
      <c r="N23">
        <v>98</v>
      </c>
      <c r="O23" s="1">
        <f>O21*N23%</f>
        <v>924.14</v>
      </c>
      <c r="P23" s="1">
        <f>O23*$D$1</f>
        <v>896.41579999999999</v>
      </c>
      <c r="S23" s="106"/>
      <c r="T23">
        <v>98</v>
      </c>
      <c r="U23" s="1">
        <f>U21*T23%</f>
        <v>924.14</v>
      </c>
      <c r="V23" s="1">
        <f>U23*$D$1</f>
        <v>896.41579999999999</v>
      </c>
    </row>
    <row r="24" spans="1:23" x14ac:dyDescent="0.25">
      <c r="D24" s="1">
        <f>SUM(D5:D23)</f>
        <v>21951.1</v>
      </c>
      <c r="E24" t="s">
        <v>1</v>
      </c>
      <c r="J24" s="1">
        <f>SUM(J5:J23)</f>
        <v>21911.815000000002</v>
      </c>
      <c r="K24" t="s">
        <v>1</v>
      </c>
      <c r="P24" s="1">
        <f>SUM(P5:P23)</f>
        <v>43024.15600000001</v>
      </c>
      <c r="Q24" t="s">
        <v>1</v>
      </c>
      <c r="V24" s="1">
        <f>SUM(V5:V23)</f>
        <v>42947.157400000004</v>
      </c>
      <c r="W24" t="s">
        <v>1</v>
      </c>
    </row>
    <row r="26" spans="1:23" x14ac:dyDescent="0.25">
      <c r="F26" s="1">
        <f>D24+J24</f>
        <v>43862.915000000001</v>
      </c>
      <c r="G26" t="s">
        <v>2</v>
      </c>
      <c r="R26" s="1">
        <f>P24+V24</f>
        <v>85971.313400000014</v>
      </c>
      <c r="S26" t="s">
        <v>2</v>
      </c>
    </row>
    <row r="27" spans="1:23" x14ac:dyDescent="0.25">
      <c r="D27">
        <v>1.0249999999999999</v>
      </c>
      <c r="E27">
        <v>1.0229999999999999</v>
      </c>
      <c r="P27">
        <v>1.0249999999999999</v>
      </c>
      <c r="Q27">
        <v>1.0229999999999999</v>
      </c>
    </row>
    <row r="29" spans="1:23" x14ac:dyDescent="0.25">
      <c r="B29">
        <v>100</v>
      </c>
      <c r="C29">
        <v>3229</v>
      </c>
      <c r="D29" s="1"/>
      <c r="E29" s="1"/>
      <c r="H29">
        <v>100</v>
      </c>
      <c r="I29">
        <v>3096</v>
      </c>
      <c r="N29">
        <v>100</v>
      </c>
      <c r="O29">
        <v>3229</v>
      </c>
      <c r="T29">
        <v>100</v>
      </c>
      <c r="U29">
        <v>3096</v>
      </c>
    </row>
    <row r="30" spans="1:23" x14ac:dyDescent="0.25">
      <c r="B30">
        <v>100</v>
      </c>
      <c r="C30">
        <f>C29*B30%</f>
        <v>3229</v>
      </c>
      <c r="D30" s="1">
        <f t="shared" ref="D30:D40" si="0">C30/$D$27</f>
        <v>3150.2439024390246</v>
      </c>
      <c r="E30" s="1">
        <f t="shared" ref="E30:E40" si="1">D30*$E$27</f>
        <v>3222.6995121951218</v>
      </c>
      <c r="H30">
        <v>100</v>
      </c>
      <c r="I30">
        <f>I29*H30%</f>
        <v>3096</v>
      </c>
      <c r="J30" s="1">
        <f t="shared" ref="J30:J40" si="2">I30/$D$27</f>
        <v>3020.4878048780492</v>
      </c>
      <c r="K30" s="1">
        <f t="shared" ref="K30:K40" si="3">J30*$E$27</f>
        <v>3089.9590243902439</v>
      </c>
      <c r="N30">
        <v>100</v>
      </c>
      <c r="O30">
        <f>O29*N30%</f>
        <v>3229</v>
      </c>
      <c r="P30" s="1">
        <f t="shared" ref="P30:P40" si="4">O30/$D$27</f>
        <v>3150.2439024390246</v>
      </c>
      <c r="Q30" s="1">
        <f t="shared" ref="Q30:Q40" si="5">P30*$E$27</f>
        <v>3222.6995121951218</v>
      </c>
      <c r="T30">
        <v>100</v>
      </c>
      <c r="U30">
        <f>U29*T30%</f>
        <v>3096</v>
      </c>
      <c r="V30" s="1">
        <f t="shared" ref="V30:V40" si="6">U30/$D$27</f>
        <v>3020.4878048780492</v>
      </c>
      <c r="W30" s="1">
        <f t="shared" ref="W30:W40" si="7">V30*$E$27</f>
        <v>3089.9590243902439</v>
      </c>
    </row>
    <row r="31" spans="1:23" x14ac:dyDescent="0.25">
      <c r="B31">
        <v>100</v>
      </c>
      <c r="C31">
        <v>2270</v>
      </c>
      <c r="D31" s="1"/>
      <c r="E31" s="1"/>
      <c r="H31">
        <v>100</v>
      </c>
      <c r="I31">
        <v>2294</v>
      </c>
      <c r="J31" s="1"/>
      <c r="K31" s="1"/>
      <c r="N31">
        <v>100</v>
      </c>
      <c r="O31">
        <v>2270</v>
      </c>
      <c r="P31" s="1"/>
      <c r="Q31" s="1"/>
      <c r="T31">
        <v>100</v>
      </c>
      <c r="U31">
        <v>2294</v>
      </c>
      <c r="V31" s="1"/>
      <c r="W31" s="1"/>
    </row>
    <row r="32" spans="1:23" x14ac:dyDescent="0.25">
      <c r="B32">
        <v>100</v>
      </c>
      <c r="C32">
        <f>C31*B32%</f>
        <v>2270</v>
      </c>
      <c r="D32" s="1">
        <f t="shared" si="0"/>
        <v>2214.6341463414637</v>
      </c>
      <c r="E32" s="1">
        <f t="shared" si="1"/>
        <v>2265.570731707317</v>
      </c>
      <c r="H32">
        <v>100</v>
      </c>
      <c r="I32">
        <f>I31*H32%</f>
        <v>2294</v>
      </c>
      <c r="J32" s="1">
        <f t="shared" si="2"/>
        <v>2238.0487804878053</v>
      </c>
      <c r="K32" s="1">
        <f t="shared" si="3"/>
        <v>2289.5239024390248</v>
      </c>
      <c r="N32">
        <v>100</v>
      </c>
      <c r="O32">
        <f>O31*N32%</f>
        <v>2270</v>
      </c>
      <c r="P32" s="1">
        <f t="shared" si="4"/>
        <v>2214.6341463414637</v>
      </c>
      <c r="Q32" s="1">
        <f t="shared" si="5"/>
        <v>2265.570731707317</v>
      </c>
      <c r="T32">
        <v>100</v>
      </c>
      <c r="U32">
        <f>U31*T32%</f>
        <v>2294</v>
      </c>
      <c r="V32" s="1">
        <f t="shared" si="6"/>
        <v>2238.0487804878053</v>
      </c>
      <c r="W32" s="1">
        <f t="shared" si="7"/>
        <v>2289.5239024390248</v>
      </c>
    </row>
    <row r="33" spans="2:24" x14ac:dyDescent="0.25">
      <c r="B33">
        <v>100</v>
      </c>
      <c r="C33">
        <v>2294</v>
      </c>
      <c r="D33" s="1"/>
      <c r="E33" s="1"/>
      <c r="H33">
        <v>100</v>
      </c>
      <c r="I33">
        <v>2269</v>
      </c>
      <c r="J33" s="1"/>
      <c r="K33" s="1"/>
      <c r="N33">
        <v>100</v>
      </c>
      <c r="O33">
        <v>2294</v>
      </c>
      <c r="P33" s="1"/>
      <c r="Q33" s="1"/>
      <c r="T33">
        <v>100</v>
      </c>
      <c r="U33">
        <v>2269</v>
      </c>
      <c r="V33" s="1"/>
      <c r="W33" s="1"/>
    </row>
    <row r="34" spans="2:24" x14ac:dyDescent="0.25">
      <c r="B34">
        <v>100</v>
      </c>
      <c r="C34">
        <f>C33*B34%</f>
        <v>2294</v>
      </c>
      <c r="D34" s="1">
        <f t="shared" si="0"/>
        <v>2238.0487804878053</v>
      </c>
      <c r="E34" s="1">
        <f t="shared" si="1"/>
        <v>2289.5239024390248</v>
      </c>
      <c r="H34">
        <v>100</v>
      </c>
      <c r="I34">
        <f>I33*H34%</f>
        <v>2269</v>
      </c>
      <c r="J34" s="1">
        <f t="shared" si="2"/>
        <v>2213.6585365853662</v>
      </c>
      <c r="K34" s="1">
        <f t="shared" si="3"/>
        <v>2264.5726829268292</v>
      </c>
      <c r="N34">
        <v>100</v>
      </c>
      <c r="O34">
        <f>O33*N34%</f>
        <v>2294</v>
      </c>
      <c r="P34" s="1">
        <f t="shared" si="4"/>
        <v>2238.0487804878053</v>
      </c>
      <c r="Q34" s="1">
        <f t="shared" si="5"/>
        <v>2289.5239024390248</v>
      </c>
      <c r="T34">
        <v>100</v>
      </c>
      <c r="U34">
        <f>U33*T34%</f>
        <v>2269</v>
      </c>
      <c r="V34" s="1">
        <f t="shared" si="6"/>
        <v>2213.6585365853662</v>
      </c>
      <c r="W34" s="1">
        <f t="shared" si="7"/>
        <v>2264.5726829268292</v>
      </c>
    </row>
    <row r="35" spans="2:24" x14ac:dyDescent="0.25">
      <c r="B35">
        <v>100</v>
      </c>
      <c r="C35">
        <v>2276</v>
      </c>
      <c r="D35" s="1"/>
      <c r="E35" s="1"/>
      <c r="H35">
        <v>100</v>
      </c>
      <c r="I35">
        <v>2294</v>
      </c>
      <c r="J35" s="1"/>
      <c r="K35" s="1"/>
      <c r="N35">
        <v>100</v>
      </c>
      <c r="O35">
        <v>2276</v>
      </c>
      <c r="P35" s="1"/>
      <c r="Q35" s="1"/>
      <c r="T35">
        <v>100</v>
      </c>
      <c r="U35">
        <v>2294</v>
      </c>
      <c r="V35" s="1"/>
      <c r="W35" s="1"/>
    </row>
    <row r="36" spans="2:24" x14ac:dyDescent="0.25">
      <c r="B36">
        <v>100</v>
      </c>
      <c r="C36">
        <f>C35*B36%</f>
        <v>2276</v>
      </c>
      <c r="D36" s="1">
        <f t="shared" si="0"/>
        <v>2220.4878048780488</v>
      </c>
      <c r="E36" s="1">
        <f t="shared" si="1"/>
        <v>2271.5590243902438</v>
      </c>
      <c r="H36">
        <v>100</v>
      </c>
      <c r="I36">
        <f>I35*H36%</f>
        <v>2294</v>
      </c>
      <c r="J36" s="1">
        <f t="shared" si="2"/>
        <v>2238.0487804878053</v>
      </c>
      <c r="K36" s="1">
        <f t="shared" si="3"/>
        <v>2289.5239024390248</v>
      </c>
      <c r="N36">
        <v>100</v>
      </c>
      <c r="O36">
        <f>O35*N36%</f>
        <v>2276</v>
      </c>
      <c r="P36" s="1">
        <f t="shared" si="4"/>
        <v>2220.4878048780488</v>
      </c>
      <c r="Q36" s="1">
        <f t="shared" si="5"/>
        <v>2271.5590243902438</v>
      </c>
      <c r="T36">
        <v>100</v>
      </c>
      <c r="U36">
        <f>U35*T36%</f>
        <v>2294</v>
      </c>
      <c r="V36" s="1">
        <f t="shared" si="6"/>
        <v>2238.0487804878053</v>
      </c>
      <c r="W36" s="1">
        <f t="shared" si="7"/>
        <v>2289.5239024390248</v>
      </c>
    </row>
    <row r="37" spans="2:24" x14ac:dyDescent="0.25">
      <c r="B37">
        <v>100</v>
      </c>
      <c r="C37">
        <v>1741</v>
      </c>
      <c r="D37" s="1"/>
      <c r="E37" s="1"/>
      <c r="H37">
        <v>100</v>
      </c>
      <c r="I37">
        <v>1667</v>
      </c>
      <c r="J37" s="1"/>
      <c r="K37" s="1"/>
      <c r="N37">
        <v>100</v>
      </c>
      <c r="O37">
        <v>1741</v>
      </c>
      <c r="P37" s="1"/>
      <c r="Q37" s="1"/>
      <c r="T37">
        <v>100</v>
      </c>
      <c r="U37">
        <v>1667</v>
      </c>
      <c r="V37" s="1"/>
      <c r="W37" s="1"/>
    </row>
    <row r="38" spans="2:24" x14ac:dyDescent="0.25">
      <c r="B38">
        <v>100</v>
      </c>
      <c r="C38">
        <f>C37*B38%</f>
        <v>1741</v>
      </c>
      <c r="D38" s="1">
        <f t="shared" si="0"/>
        <v>1698.5365853658539</v>
      </c>
      <c r="E38" s="1">
        <f t="shared" si="1"/>
        <v>1737.6029268292684</v>
      </c>
      <c r="H38">
        <v>100</v>
      </c>
      <c r="I38">
        <f>I37*H38%</f>
        <v>1667</v>
      </c>
      <c r="J38" s="1">
        <f t="shared" si="2"/>
        <v>1626.3414634146343</v>
      </c>
      <c r="K38" s="1">
        <f t="shared" si="3"/>
        <v>1663.7473170731707</v>
      </c>
      <c r="N38">
        <v>100</v>
      </c>
      <c r="O38">
        <f>O37*N38%</f>
        <v>1741</v>
      </c>
      <c r="P38" s="1">
        <f t="shared" si="4"/>
        <v>1698.5365853658539</v>
      </c>
      <c r="Q38" s="1">
        <f t="shared" si="5"/>
        <v>1737.6029268292684</v>
      </c>
      <c r="T38">
        <v>100</v>
      </c>
      <c r="U38">
        <f>U37*T38%</f>
        <v>1667</v>
      </c>
      <c r="V38" s="1">
        <f t="shared" si="6"/>
        <v>1626.3414634146343</v>
      </c>
      <c r="W38" s="1">
        <f t="shared" si="7"/>
        <v>1663.7473170731707</v>
      </c>
    </row>
    <row r="39" spans="2:24" x14ac:dyDescent="0.25">
      <c r="B39">
        <v>100</v>
      </c>
      <c r="C39">
        <v>1691</v>
      </c>
      <c r="D39" s="1"/>
      <c r="E39" s="1"/>
      <c r="H39">
        <v>100</v>
      </c>
      <c r="I39">
        <v>2015</v>
      </c>
      <c r="J39" s="1"/>
      <c r="K39" s="1"/>
      <c r="N39">
        <v>100</v>
      </c>
      <c r="O39">
        <v>1691</v>
      </c>
      <c r="P39" s="1"/>
      <c r="Q39" s="1"/>
      <c r="T39">
        <v>100</v>
      </c>
      <c r="U39">
        <v>2015</v>
      </c>
      <c r="V39" s="1"/>
      <c r="W39" s="1"/>
    </row>
    <row r="40" spans="2:24" x14ac:dyDescent="0.25">
      <c r="B40">
        <v>100</v>
      </c>
      <c r="C40">
        <f>C39*B40%</f>
        <v>1691</v>
      </c>
      <c r="D40" s="1">
        <f t="shared" si="0"/>
        <v>1649.7560975609758</v>
      </c>
      <c r="E40" s="1">
        <f t="shared" si="1"/>
        <v>1687.7004878048781</v>
      </c>
      <c r="H40">
        <v>100</v>
      </c>
      <c r="I40">
        <f>I39*H40%</f>
        <v>2015</v>
      </c>
      <c r="J40" s="1">
        <f t="shared" si="2"/>
        <v>1965.8536585365855</v>
      </c>
      <c r="K40" s="1">
        <f t="shared" si="3"/>
        <v>2011.0682926829268</v>
      </c>
      <c r="N40">
        <v>100</v>
      </c>
      <c r="O40">
        <f>O39*N40%</f>
        <v>1691</v>
      </c>
      <c r="P40" s="1">
        <f t="shared" si="4"/>
        <v>1649.7560975609758</v>
      </c>
      <c r="Q40" s="1">
        <f t="shared" si="5"/>
        <v>1687.7004878048781</v>
      </c>
      <c r="T40">
        <v>100</v>
      </c>
      <c r="U40">
        <f>U39*T40%</f>
        <v>2015</v>
      </c>
      <c r="V40" s="1">
        <f t="shared" si="6"/>
        <v>1965.8536585365855</v>
      </c>
      <c r="W40" s="1">
        <f t="shared" si="7"/>
        <v>2011.0682926829268</v>
      </c>
    </row>
    <row r="41" spans="2:24" x14ac:dyDescent="0.25">
      <c r="J41" s="1"/>
      <c r="K41" s="1"/>
      <c r="P41" s="1"/>
      <c r="Q41" s="1"/>
      <c r="V41" s="1"/>
      <c r="W41" s="1"/>
    </row>
    <row r="42" spans="2:24" x14ac:dyDescent="0.25">
      <c r="J42" s="1"/>
      <c r="K42" s="1"/>
      <c r="P42" s="1"/>
      <c r="Q42" s="1"/>
      <c r="V42" s="1"/>
      <c r="W42" s="1"/>
    </row>
    <row r="43" spans="2:24" x14ac:dyDescent="0.25">
      <c r="E43">
        <f>SUM(E30:E42)</f>
        <v>13474.656585365852</v>
      </c>
      <c r="F43" t="s">
        <v>3</v>
      </c>
      <c r="J43" s="1"/>
      <c r="K43" s="1">
        <f>SUM(K30:K42)</f>
        <v>13608.39512195122</v>
      </c>
      <c r="L43" t="s">
        <v>3</v>
      </c>
      <c r="P43" s="1"/>
      <c r="Q43" s="1">
        <f>SUM(Q30:Q42)</f>
        <v>13474.656585365852</v>
      </c>
      <c r="R43" t="s">
        <v>3</v>
      </c>
      <c r="V43" s="1"/>
      <c r="W43" s="1">
        <f>SUM(W30:W42)</f>
        <v>13608.39512195122</v>
      </c>
      <c r="X43" t="s">
        <v>3</v>
      </c>
    </row>
    <row r="45" spans="2:24" x14ac:dyDescent="0.25">
      <c r="F45">
        <v>100</v>
      </c>
      <c r="G45">
        <v>924.5</v>
      </c>
      <c r="R45">
        <v>100</v>
      </c>
      <c r="S45">
        <v>924.5</v>
      </c>
    </row>
    <row r="46" spans="2:24" x14ac:dyDescent="0.25">
      <c r="F46">
        <v>100</v>
      </c>
      <c r="G46">
        <f>G45*F46%</f>
        <v>924.5</v>
      </c>
      <c r="H46">
        <f>G46/$D$27</f>
        <v>901.95121951219517</v>
      </c>
      <c r="I46">
        <f>H46*$E$27</f>
        <v>922.69609756097555</v>
      </c>
      <c r="R46">
        <v>100</v>
      </c>
      <c r="S46">
        <f>S45*R46%</f>
        <v>924.5</v>
      </c>
      <c r="T46" s="1">
        <f>S46/$D$27</f>
        <v>901.95121951219517</v>
      </c>
      <c r="U46" s="1">
        <f>T46*$E$27</f>
        <v>922.69609756097555</v>
      </c>
    </row>
    <row r="49" spans="1:21" x14ac:dyDescent="0.25">
      <c r="H49" s="1">
        <f>E43+K43+I46</f>
        <v>28005.747804878047</v>
      </c>
      <c r="I49" t="s">
        <v>4</v>
      </c>
      <c r="T49">
        <f>Q43+W43+U46</f>
        <v>28005.747804878047</v>
      </c>
      <c r="U49" t="s">
        <v>4</v>
      </c>
    </row>
    <row r="52" spans="1:21" x14ac:dyDescent="0.25">
      <c r="H52" s="2">
        <f>H49+F26</f>
        <v>71868.662804878055</v>
      </c>
      <c r="I52" t="s">
        <v>5</v>
      </c>
      <c r="T52" s="3">
        <f>T49+R26</f>
        <v>113977.06120487806</v>
      </c>
      <c r="U52" t="s">
        <v>5</v>
      </c>
    </row>
    <row r="55" spans="1:21" x14ac:dyDescent="0.25">
      <c r="C55" t="s">
        <v>7</v>
      </c>
    </row>
    <row r="56" spans="1:21" x14ac:dyDescent="0.25">
      <c r="A56" t="s">
        <v>8</v>
      </c>
      <c r="C56" s="1">
        <f>C3+I3</f>
        <v>11846</v>
      </c>
      <c r="D56">
        <f>C56*85%</f>
        <v>10069.1</v>
      </c>
    </row>
    <row r="57" spans="1:21" x14ac:dyDescent="0.25">
      <c r="A57" t="s">
        <v>9</v>
      </c>
      <c r="C57" s="1">
        <f>F26-D56</f>
        <v>33793.815000000002</v>
      </c>
      <c r="D57">
        <f>C57/5</f>
        <v>6758.7630000000008</v>
      </c>
      <c r="F57">
        <f>7500*85%</f>
        <v>6375</v>
      </c>
    </row>
    <row r="61" spans="1:21" x14ac:dyDescent="0.25">
      <c r="A61" t="s">
        <v>23</v>
      </c>
      <c r="C61">
        <v>0.30480000000000002</v>
      </c>
    </row>
    <row r="62" spans="1:21" x14ac:dyDescent="0.25">
      <c r="A62" t="s">
        <v>24</v>
      </c>
      <c r="C62">
        <v>2.54</v>
      </c>
    </row>
    <row r="65" spans="1:8" x14ac:dyDescent="0.25">
      <c r="D65" s="6"/>
    </row>
    <row r="66" spans="1:8" x14ac:dyDescent="0.25">
      <c r="D66" s="7"/>
    </row>
    <row r="67" spans="1:8" x14ac:dyDescent="0.25">
      <c r="A67" t="s">
        <v>71</v>
      </c>
      <c r="D67" t="s">
        <v>44</v>
      </c>
      <c r="G67" t="s">
        <v>89</v>
      </c>
    </row>
    <row r="68" spans="1:8" x14ac:dyDescent="0.25">
      <c r="A68">
        <f>VLOOKUP(Calados!E24,'Tablas 1'!B4:K44,1,TRUE)</f>
        <v>2.7000000000000006</v>
      </c>
      <c r="B68" s="1">
        <f>Calados!E24-Calculos!A68</f>
        <v>1.1449999999999516E-2</v>
      </c>
      <c r="D68">
        <f>VLOOKUP(Calados!E29,'Tablas 1'!B4:K44,1,TRUE)</f>
        <v>2.6000000000000005</v>
      </c>
      <c r="E68" s="10">
        <f>Calados!E29-Calculos!A68</f>
        <v>-2.328267522727856E-3</v>
      </c>
      <c r="G68">
        <f>VLOOKUP(Calados!K31,'Tablas 1'!B4:K44,1,TRUE)</f>
        <v>4.2000000000000011</v>
      </c>
      <c r="H68" s="10">
        <f>Calados!K31-Calculos!G68</f>
        <v>5.2462440574998936E-2</v>
      </c>
    </row>
    <row r="69" spans="1:8" x14ac:dyDescent="0.25">
      <c r="A69">
        <f>VLOOKUP(Calados!E24,'Tablas 1'!B4:K44,5)</f>
        <v>-1.9</v>
      </c>
      <c r="B69">
        <f>A70-A69</f>
        <v>4.9999999999999822E-2</v>
      </c>
      <c r="D69">
        <f>VLOOKUP(Calados!E29,'Tablas 1'!B4:K44,3)</f>
        <v>3346.6249999999995</v>
      </c>
      <c r="E69" s="10">
        <f>D70-D69</f>
        <v>145.55000000000018</v>
      </c>
      <c r="G69">
        <f>VLOOKUP(Calados!K31,'Tablas 1'!B4:K44,4)</f>
        <v>15.17</v>
      </c>
      <c r="H69" s="10">
        <f>G70-G69</f>
        <v>4.0000000000000924E-2</v>
      </c>
    </row>
    <row r="70" spans="1:8" x14ac:dyDescent="0.25">
      <c r="A70">
        <f>VLOOKUP(Calados!E24+0.1,'Tablas 1'!B4:K44,5)</f>
        <v>-1.85</v>
      </c>
      <c r="B70">
        <f>(B68*B69)/0.1</f>
        <v>5.7249999999997372E-3</v>
      </c>
      <c r="D70">
        <f>VLOOKUP(Calados!E29+0.1,'Tablas 1'!B4:K44,3)</f>
        <v>3492.1749999999997</v>
      </c>
      <c r="E70">
        <f>(E68*E69)/0.1</f>
        <v>-3.3887933793303984</v>
      </c>
      <c r="G70">
        <f>VLOOKUP(Calados!K31+0.1,'Tablas 1'!B4:K44,4)</f>
        <v>15.21</v>
      </c>
      <c r="H70">
        <f>(H68*H69)/0.1</f>
        <v>2.098497623000006E-2</v>
      </c>
    </row>
    <row r="71" spans="1:8" x14ac:dyDescent="0.25">
      <c r="B71" s="10">
        <f>A69+B70</f>
        <v>-1.8942750000000002</v>
      </c>
      <c r="E71" s="10">
        <f>D69+E70</f>
        <v>3343.2362066206692</v>
      </c>
      <c r="H71" s="10">
        <f>G69+H70</f>
        <v>15.19098497623</v>
      </c>
    </row>
    <row r="72" spans="1:8" x14ac:dyDescent="0.25">
      <c r="D72" s="6"/>
    </row>
    <row r="73" spans="1:8" x14ac:dyDescent="0.25">
      <c r="D73" s="6"/>
    </row>
    <row r="74" spans="1:8" x14ac:dyDescent="0.25">
      <c r="A74" t="s">
        <v>72</v>
      </c>
      <c r="D74" t="s">
        <v>77</v>
      </c>
    </row>
    <row r="75" spans="1:8" x14ac:dyDescent="0.25">
      <c r="A75">
        <f>VLOOKUP(Calados!E35,'Tablas 1'!B4:K44,1,TRUE)</f>
        <v>5.7999999999999954</v>
      </c>
      <c r="B75" s="1">
        <f>Calados!E35-Calculos!A75</f>
        <v>3.9000000000051216E-3</v>
      </c>
      <c r="C75" s="7"/>
      <c r="D75">
        <f>VLOOKUP(Calados!E40,'Tablas 1'!B4:K44,1,TRUE)</f>
        <v>5.7999999999999954</v>
      </c>
      <c r="E75" s="1">
        <f>Calados!E40-Calculos!A75</f>
        <v>7.2531486727323013E-3</v>
      </c>
    </row>
    <row r="76" spans="1:8" x14ac:dyDescent="0.25">
      <c r="A76">
        <f>VLOOKUP(Calados!E35,'Tablas 1'!B4:K44,5)</f>
        <v>0.76</v>
      </c>
      <c r="B76">
        <f>A77-A76</f>
        <v>0.10999999999999999</v>
      </c>
      <c r="C76" s="8"/>
      <c r="D76">
        <f>VLOOKUP(Calados!E40,'Tablas 1'!B4:K44,3)</f>
        <v>8200</v>
      </c>
      <c r="E76">
        <f>D77-D76</f>
        <v>158.875</v>
      </c>
    </row>
    <row r="77" spans="1:8" x14ac:dyDescent="0.25">
      <c r="A77">
        <f>VLOOKUP(Calados!E35+0.1,'Tablas 1'!B4:K44,5)</f>
        <v>0.87</v>
      </c>
      <c r="B77">
        <f>(B75*B76)/0.1</f>
        <v>4.2900000000056331E-3</v>
      </c>
      <c r="C77" s="8"/>
      <c r="D77">
        <f>VLOOKUP(Calados!E40+0.1,'Tablas 1'!B4:K44,3)</f>
        <v>8358.875</v>
      </c>
      <c r="E77">
        <f>(E75*E76)/0.1</f>
        <v>11.523439953803445</v>
      </c>
    </row>
    <row r="78" spans="1:8" x14ac:dyDescent="0.25">
      <c r="B78" s="10">
        <f>A76+B77</f>
        <v>0.76429000000000569</v>
      </c>
      <c r="C78" s="8"/>
      <c r="E78" s="10">
        <f>D76+E77</f>
        <v>8211.523439953804</v>
      </c>
    </row>
  </sheetData>
  <sheetProtection password="896A" sheet="1" objects="1" scenarios="1" selectLockedCells="1"/>
  <mergeCells count="28">
    <mergeCell ref="A21:A23"/>
    <mergeCell ref="G21:G23"/>
    <mergeCell ref="L21:L23"/>
    <mergeCell ref="S21:S23"/>
    <mergeCell ref="A15:A17"/>
    <mergeCell ref="G15:G17"/>
    <mergeCell ref="L15:L17"/>
    <mergeCell ref="S15:S17"/>
    <mergeCell ref="A18:A20"/>
    <mergeCell ref="G18:G20"/>
    <mergeCell ref="L18:L20"/>
    <mergeCell ref="S18:S20"/>
    <mergeCell ref="A9:A11"/>
    <mergeCell ref="G9:G11"/>
    <mergeCell ref="L9:L11"/>
    <mergeCell ref="S9:S11"/>
    <mergeCell ref="A12:A14"/>
    <mergeCell ref="G12:G14"/>
    <mergeCell ref="L12:L14"/>
    <mergeCell ref="S12:S14"/>
    <mergeCell ref="A3:A5"/>
    <mergeCell ref="G3:G5"/>
    <mergeCell ref="L3:L5"/>
    <mergeCell ref="S3:S5"/>
    <mergeCell ref="A6:A8"/>
    <mergeCell ref="G6:G8"/>
    <mergeCell ref="L6:L8"/>
    <mergeCell ref="S6:S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Calados</vt:lpstr>
      <vt:lpstr>Hoja1</vt:lpstr>
      <vt:lpstr>Tablas 1</vt:lpstr>
      <vt:lpstr>Calculos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Agustín González</dc:creator>
  <cp:lastModifiedBy>jagonal</cp:lastModifiedBy>
  <cp:lastPrinted>2016-03-20T17:31:29Z</cp:lastPrinted>
  <dcterms:created xsi:type="dcterms:W3CDTF">2016-03-14T19:53:15Z</dcterms:created>
  <dcterms:modified xsi:type="dcterms:W3CDTF">2016-07-08T12:43:23Z</dcterms:modified>
</cp:coreProperties>
</file>